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out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Owning cost" sheetId="4" state="visible" r:id="rId4"/>
    <sheet xmlns:r="http://schemas.openxmlformats.org/officeDocument/2006/relationships" name="Compare" sheetId="5" state="visible" r:id="rId5"/>
    <sheet xmlns:r="http://schemas.openxmlformats.org/officeDocument/2006/relationships" name="Break-even" sheetId="6" state="visible" r:id="rId6"/>
    <sheet xmlns:r="http://schemas.openxmlformats.org/officeDocument/2006/relationships" name="Sources" sheetId="7" state="visible" r:id="rId7"/>
  </sheets>
  <definedNames>
    <definedName name="m_name">'Inputs'!$B$5</definedName>
    <definedName name="m_price">'Inputs'!$B$6</definedName>
    <definedName name="m_years">'Inputs'!$B$7</definedName>
    <definedName name="m_hours">'Inputs'!$B$8</definedName>
    <definedName name="m_resid">'Inputs'!$B$9</definedName>
    <definedName name="m_fuel">'Inputs'!$B$11</definedName>
    <definedName name="m_diesel">'Inputs'!$B$12</definedName>
    <definedName name="m_operator">'Inputs'!$B$13</definedName>
    <definedName name="m_maint">'Inputs'!$B$14</definedName>
    <definedName name="m_ins">'Inputs'!$B$15</definedName>
    <definedName name="m_rate">'Inputs'!$B$17</definedName>
    <definedName name="m_tax">'Inputs'!$B$18</definedName>
    <definedName name="m_wt">'Inputs'!$B$19</definedName>
    <definedName name="m_disc">'Inputs'!$B$20</definedName>
    <definedName name="f_dep">'Inputs'!$B$22</definedName>
    <definedName name="f_term">'Inputs'!$B$23</definedName>
    <definedName name="f_balloon">'Inputs'!$B$24</definedName>
    <definedName name="f_fee">'Inputs'!$B$25</definedName>
    <definedName name="l_rental_in">'Inputs'!$B$27</definedName>
    <definedName name="l_rental_est">'Inputs'!$B$28</definedName>
    <definedName name="l_rental">'Inputs'!$B$29</definedName>
    <definedName name="h_dry">'Inputs'!$B$31</definedName>
    <definedName name="o_resid">'Owning cost'!$B$4</definedName>
    <definedName name="o_hours">'Owning cost'!$B$5</definedName>
    <definedName name="o_avg">'Owning cost'!$B$6</definedName>
    <definedName name="o_dep">'Owning cost'!$B$7</definedName>
    <definedName name="o_int">'Owning cost'!$B$8</definedName>
    <definedName name="o_ins">'Owning cost'!$B$9</definedName>
    <definedName name="o_own">'Owning cost'!$B$10</definedName>
    <definedName name="o_fuel">'Owning cost'!$B$11</definedName>
    <definedName name="o_maint">'Owning cost'!$B$12</definedName>
    <definedName name="o_op">'Owning cost'!$B$13</definedName>
    <definedName name="o_run">'Owning cost'!$B$14</definedName>
    <definedName name="o_total">'Owning cost'!$B$15</definedName>
    <definedName name="o_dry">'Owning cost'!$B$16</definedName>
    <definedName name="n_cash">'Compare'!$N$14</definedName>
    <definedName name="f_loan">'Compare'!$C$17</definedName>
    <definedName name="f_pmt">'Compare'!$C$18</definedName>
    <definedName name="n_ica">'Compare'!$N$25</definedName>
    <definedName name="n_lease">'Compare'!$N$28</definedName>
    <definedName name="n_hire">'Compare'!$N$31</definedName>
    <definedName name="n_af">'Compare'!$C$34</definedName>
    <definedName name="ph_cash">'Compare'!$C$35</definedName>
    <definedName name="ph_ica">'Compare'!$C$36</definedName>
    <definedName name="ph_lease">'Compare'!$C$37</definedName>
    <definedName name="ph_hire">'Compare'!$C$38</definedName>
    <definedName name="n_best">'Compare'!$C$39</definedName>
    <definedName name="b_hours">'Break-even'!$B$8</definedName>
    <definedName name="_xlnm.Print_Titles" localSheetId="1">'How to use'!$1:$1</definedName>
    <definedName name="_xlnm.Print_Titles" localSheetId="2">'Inputs'!$1:$1</definedName>
    <definedName name="_xlnm.Print_Titles" localSheetId="3">'Owning cost'!$1:$1</definedName>
    <definedName name="_xlnm.Print_Titles" localSheetId="4">'Compare'!$1:$1</definedName>
    <definedName name="_xlnm.Print_Titles" localSheetId="5">'Break-even'!$1:$1</definedName>
    <definedName name="_xlnm.Print_Titles" localSheetId="6">'Sources'!$1:$1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 &quot;#,##0.00;[RED]&quot;-R &quot;#,##0.00;\-"/>
    <numFmt numFmtId="165" formatCode="#,##0;[RED]\-#,##0;\-"/>
    <numFmt numFmtId="166" formatCode="0.0%;[RED]\-0.0%;\-"/>
    <numFmt numFmtId="167" formatCode="#,##0.00;[RED]\-#,##0.00;\-"/>
    <numFmt numFmtId="168" formatCode="0.0000"/>
  </numFmts>
  <fonts count="17">
    <font>
      <name val="Calibri"/>
      <family val="2"/>
      <color theme="1"/>
      <sz val="11"/>
      <scheme val="minor"/>
    </font>
    <font>
      <name val="Arial"/>
      <b val="1"/>
      <color rgb="FFB4F24E"/>
      <sz val="8"/>
    </font>
    <font>
      <name val="Georgia"/>
      <b val="1"/>
      <color rgb="FFFFFFFF"/>
      <sz val="22"/>
    </font>
    <font>
      <name val="Arial"/>
      <color rgb="FFA7ACA9"/>
      <sz val="10"/>
    </font>
    <font>
      <name val="Arial"/>
      <b val="1"/>
      <color rgb="FFFFFFFF"/>
      <sz val="10"/>
    </font>
    <font>
      <name val="Arial"/>
      <color rgb="FFA7ACA9"/>
      <sz val="9"/>
    </font>
    <font>
      <name val="Arial"/>
      <color rgb="FFE6E9E7"/>
      <sz val="10"/>
    </font>
    <font>
      <name val="Arial"/>
      <color rgb="FFB4F24E"/>
      <sz val="10"/>
      <u val="single"/>
    </font>
    <font>
      <name val="Arial"/>
      <b val="1"/>
      <color rgb="FFB4F24E"/>
      <sz val="10"/>
    </font>
    <font>
      <name val="Arial"/>
      <color rgb="FFA7ACA9"/>
      <sz val="8"/>
    </font>
    <font>
      <name val="Georgia"/>
      <b val="1"/>
      <color rgb="FFFFFFFF"/>
      <sz val="15"/>
    </font>
    <font>
      <name val="Arial"/>
      <color rgb="FF545957"/>
      <sz val="9"/>
    </font>
    <font>
      <name val="Arial"/>
      <b val="1"/>
      <sz val="10"/>
    </font>
    <font>
      <name val="Arial"/>
      <sz val="10"/>
    </font>
    <font>
      <name val="Arial"/>
      <b val="1"/>
      <color rgb="FF53760E"/>
      <sz val="9"/>
    </font>
    <font>
      <name val="Arial"/>
      <b val="1"/>
      <color rgb="FFAD4216"/>
      <sz val="9"/>
    </font>
    <font>
      <name val="Arial"/>
      <color rgb="FF0563C1"/>
      <sz val="9"/>
    </font>
  </fonts>
  <fills count="10">
    <fill>
      <patternFill/>
    </fill>
    <fill>
      <patternFill patternType="gray125"/>
    </fill>
    <fill>
      <patternFill patternType="solid">
        <fgColor rgb="FF0F1212"/>
      </patternFill>
    </fill>
    <fill>
      <patternFill patternType="solid">
        <fgColor rgb="FF171C1B"/>
      </patternFill>
    </fill>
    <fill>
      <patternFill patternType="solid">
        <fgColor rgb="FFE3E5E3"/>
      </patternFill>
    </fill>
    <fill>
      <patternFill patternType="solid">
        <fgColor rgb="FFE8F9D5"/>
      </patternFill>
    </fill>
    <fill>
      <patternFill patternType="solid">
        <fgColor rgb="FFFFFFFF"/>
      </patternFill>
    </fill>
    <fill>
      <patternFill patternType="solid">
        <fgColor rgb="FFFEEADB"/>
      </patternFill>
    </fill>
    <fill>
      <patternFill patternType="solid">
        <fgColor rgb="FFF7F9F7"/>
      </patternFill>
    </fill>
    <fill>
      <patternFill patternType="solid">
        <fgColor rgb="FFD8F3BA"/>
      </patternFill>
    </fill>
  </fills>
  <borders count="3">
    <border>
      <left/>
      <right/>
      <top/>
      <bottom/>
      <diagonal/>
    </border>
    <border>
      <bottom style="medium">
        <color rgb="FFB4F24E"/>
      </bottom>
    </border>
    <border>
      <left style="thin">
        <color rgb="FFD0D4D1"/>
      </left>
      <right style="thin">
        <color rgb="FFD0D4D1"/>
      </right>
      <top style="thin">
        <color rgb="FFD0D4D1"/>
      </top>
      <bottom style="thin">
        <color rgb="FFD0D4D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top" wrapText="1"/>
    </xf>
    <xf numFmtId="0" fontId="0" fillId="2" borderId="1" pivotButton="0" quotePrefix="0" xfId="0"/>
    <xf numFmtId="0" fontId="4" fillId="2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1" fillId="3" borderId="0" pivotButton="0" quotePrefix="0" xfId="0"/>
    <xf numFmtId="0" fontId="6" fillId="3" borderId="0" pivotButton="0" quotePrefix="0" xfId="0"/>
    <xf numFmtId="0" fontId="7" fillId="3" borderId="0" pivotButton="0" quotePrefix="0" xfId="0"/>
    <xf numFmtId="0" fontId="8" fillId="2" borderId="0" pivotButton="0" quotePrefix="0" xfId="0"/>
    <xf numFmtId="0" fontId="9" fillId="2" borderId="0" applyAlignment="1" pivotButton="0" quotePrefix="0" xfId="0">
      <alignment vertical="top" wrapText="1"/>
    </xf>
    <xf numFmtId="0" fontId="10" fillId="2" borderId="0" applyAlignment="1" pivotButton="0" quotePrefix="0" xfId="0">
      <alignment vertical="center"/>
    </xf>
    <xf numFmtId="0" fontId="11" fillId="0" borderId="0" applyAlignment="1" pivotButton="0" quotePrefix="0" xfId="0">
      <alignment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8" fillId="2" borderId="0" applyAlignment="1" pivotButton="0" quotePrefix="0" xfId="0">
      <alignment vertical="center" wrapText="1"/>
    </xf>
    <xf numFmtId="0" fontId="12" fillId="4" borderId="0" pivotButton="0" quotePrefix="0" xfId="0"/>
    <xf numFmtId="0" fontId="0" fillId="4" borderId="0" pivotButton="0" quotePrefix="0" xfId="0"/>
    <xf numFmtId="0" fontId="13" fillId="0" borderId="0" pivotButton="0" quotePrefix="0" xfId="0"/>
    <xf numFmtId="0" fontId="13" fillId="5" borderId="2" pivotButton="0" quotePrefix="0" xfId="0"/>
    <xf numFmtId="0" fontId="11" fillId="0" borderId="0" applyAlignment="1" pivotButton="0" quotePrefix="0" xfId="0">
      <alignment vertical="top" wrapText="1"/>
    </xf>
    <xf numFmtId="164" fontId="13" fillId="5" borderId="2" pivotButton="0" quotePrefix="0" xfId="0"/>
    <xf numFmtId="0" fontId="14" fillId="6" borderId="0" applyAlignment="1" pivotButton="0" quotePrefix="0" xfId="0">
      <alignment vertical="top" wrapText="1"/>
    </xf>
    <xf numFmtId="165" fontId="13" fillId="5" borderId="2" pivotButton="0" quotePrefix="0" xfId="0"/>
    <xf numFmtId="166" fontId="13" fillId="5" borderId="2" pivotButton="0" quotePrefix="0" xfId="0"/>
    <xf numFmtId="167" fontId="13" fillId="5" borderId="2" pivotButton="0" quotePrefix="0" xfId="0"/>
    <xf numFmtId="0" fontId="15" fillId="7" borderId="0" applyAlignment="1" pivotButton="0" quotePrefix="0" xfId="0">
      <alignment vertical="top" wrapText="1"/>
    </xf>
    <xf numFmtId="166" fontId="13" fillId="8" borderId="2" pivotButton="0" quotePrefix="0" xfId="0"/>
    <xf numFmtId="164" fontId="13" fillId="8" borderId="2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9" borderId="2" pivotButton="0" quotePrefix="0" xfId="0"/>
    <xf numFmtId="165" fontId="13" fillId="0" borderId="0" pivotButton="0" quotePrefix="0" xfId="0"/>
    <xf numFmtId="165" fontId="13" fillId="8" borderId="2" pivotButton="0" quotePrefix="0" xfId="0"/>
    <xf numFmtId="164" fontId="13" fillId="0" borderId="0" pivotButton="0" quotePrefix="0" xfId="0"/>
    <xf numFmtId="164" fontId="12" fillId="8" borderId="2" pivotButton="0" quotePrefix="0" xfId="0"/>
    <xf numFmtId="168" fontId="13" fillId="8" borderId="2" pivotButton="0" quotePrefix="0" xfId="0"/>
    <xf numFmtId="0" fontId="12" fillId="9" borderId="2" pivotButton="0" quotePrefix="0" xfId="0"/>
    <xf numFmtId="165" fontId="12" fillId="9" borderId="2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4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2" t="inlineStr">
        <is>
          <t>SETOUT  .  THE SOUTH AFRICAN CONSTRUCTION TOOLKIT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1" t="n"/>
      <c r="B5" s="3" t="inlineStr">
        <is>
          <t>Setout plant decision: own, finance, lease or hire</t>
        </is>
      </c>
      <c r="C5" s="1" t="n"/>
      <c r="D5" s="1" t="n"/>
      <c r="E5" s="1" t="n"/>
      <c r="F5" s="1" t="n"/>
      <c r="G5" s="1" t="n"/>
      <c r="H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</row>
    <row r="9">
      <c r="A9" s="1" t="n"/>
      <c r="B9" s="4" t="inlineStr">
        <is>
          <t>Works out what a machine really costs you per hour to own and run, then compares buying cash, an instalment sale, an operating lease and dry hire on the same footing: after tax, in today's money, per working hour.</t>
        </is>
      </c>
      <c r="H9" s="1" t="n"/>
    </row>
    <row r="10">
      <c r="A10" s="1" t="n"/>
      <c r="H10" s="1" t="n"/>
    </row>
    <row r="11">
      <c r="A11" s="1" t="n"/>
      <c r="H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>
      <c r="A13" s="1" t="n"/>
      <c r="B13" s="5" t="n"/>
      <c r="C13" s="5" t="n"/>
      <c r="D13" s="5" t="n"/>
      <c r="E13" s="5" t="n"/>
      <c r="F13" s="5" t="n"/>
      <c r="G13" s="5" t="n"/>
      <c r="H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</row>
    <row r="15">
      <c r="A15" s="1" t="n"/>
      <c r="B15" s="2" t="inlineStr">
        <is>
          <t>WHAT'S IN THIS WORKBOOK</t>
        </is>
      </c>
      <c r="C15" s="1" t="n"/>
      <c r="D15" s="1" t="n"/>
      <c r="E15" s="1" t="n"/>
      <c r="F15" s="1" t="n"/>
      <c r="G15" s="1" t="n"/>
      <c r="H15" s="1" t="n"/>
    </row>
    <row r="16">
      <c r="A16" s="1" t="n"/>
      <c r="B16" s="6" t="inlineStr">
        <is>
          <t>How to use</t>
        </is>
      </c>
      <c r="C16" s="7" t="inlineStr">
        <is>
          <t>Step by step, and why each step is there.</t>
        </is>
      </c>
      <c r="D16" s="1" t="n"/>
      <c r="E16" s="1" t="n"/>
      <c r="F16" s="1" t="n"/>
      <c r="G16" s="1" t="n"/>
      <c r="H16" s="1" t="n"/>
    </row>
    <row r="17">
      <c r="A17" s="1" t="n"/>
      <c r="B17" s="6" t="inlineStr">
        <is>
          <t>Inputs</t>
        </is>
      </c>
      <c r="C17" s="7" t="inlineStr">
        <is>
          <t>Machine, hours, running costs, finance, lease and hire.</t>
        </is>
      </c>
      <c r="D17" s="1" t="n"/>
      <c r="E17" s="1" t="n"/>
      <c r="F17" s="1" t="n"/>
      <c r="G17" s="1" t="n"/>
      <c r="H17" s="1" t="n"/>
    </row>
    <row r="18">
      <c r="A18" s="1" t="n"/>
      <c r="B18" s="6" t="inlineStr">
        <is>
          <t>Owning cost</t>
        </is>
      </c>
      <c r="C18" s="7" t="inlineStr">
        <is>
          <t>Caterpillar method: cost per hour to own and run.</t>
        </is>
      </c>
      <c r="D18" s="1" t="n"/>
      <c r="E18" s="1" t="n"/>
      <c r="F18" s="1" t="n"/>
      <c r="G18" s="1" t="n"/>
      <c r="H18" s="1" t="n"/>
    </row>
    <row r="19">
      <c r="A19" s="1" t="n"/>
      <c r="B19" s="6" t="inlineStr">
        <is>
          <t>Compare</t>
        </is>
      </c>
      <c r="C19" s="7" t="inlineStr">
        <is>
          <t>Year-by-year after-tax cash flow for each option, NPV and cost per hour.</t>
        </is>
      </c>
      <c r="D19" s="1" t="n"/>
      <c r="E19" s="1" t="n"/>
      <c r="F19" s="1" t="n"/>
      <c r="G19" s="1" t="n"/>
      <c r="H19" s="1" t="n"/>
    </row>
    <row r="20">
      <c r="A20" s="1" t="n"/>
      <c r="B20" s="6" t="inlineStr">
        <is>
          <t>Break-even</t>
        </is>
      </c>
      <c r="C20" s="7" t="inlineStr">
        <is>
          <t>Hours a year at which owning beats hiring.</t>
        </is>
      </c>
      <c r="D20" s="1" t="n"/>
      <c r="E20" s="1" t="n"/>
      <c r="F20" s="1" t="n"/>
      <c r="G20" s="1" t="n"/>
      <c r="H20" s="1" t="n"/>
    </row>
    <row r="21">
      <c r="A21" s="1" t="n"/>
      <c r="B21" s="6" t="inlineStr">
        <is>
          <t>Sources</t>
        </is>
      </c>
      <c r="C21" s="7" t="inlineStr">
        <is>
          <t>Where every number came from.</t>
        </is>
      </c>
      <c r="D21" s="1" t="n"/>
      <c r="E21" s="1" t="n"/>
      <c r="F21" s="1" t="n"/>
      <c r="G21" s="1" t="n"/>
      <c r="H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8" t="n"/>
      <c r="C30" s="8" t="n"/>
      <c r="D30" s="8" t="n"/>
      <c r="E30" s="8" t="n"/>
      <c r="F30" s="8" t="n"/>
      <c r="G30" s="8" t="n"/>
      <c r="H30" s="1" t="n"/>
    </row>
    <row r="31">
      <c r="A31" s="1" t="n"/>
      <c r="B31" s="9" t="inlineStr">
        <is>
          <t>MORE FROM SETOUT - FREE AT SETOUT.CO.ZA</t>
        </is>
      </c>
      <c r="C31" s="8" t="n"/>
      <c r="D31" s="8" t="n"/>
      <c r="E31" s="8" t="n"/>
      <c r="F31" s="8" t="n"/>
      <c r="G31" s="8" t="n"/>
      <c r="H31" s="1" t="n"/>
    </row>
    <row r="32">
      <c r="A32" s="1" t="n"/>
      <c r="B32" s="10" t="inlineStr">
        <is>
          <t>Measurement calculator pack - steel, roads, rebar, bolts</t>
        </is>
      </c>
      <c r="C32" s="8" t="n"/>
      <c r="D32" s="8" t="n"/>
      <c r="E32" s="8" t="n"/>
      <c r="F32" s="11">
        <f>HYPERLINK("https://setout.co.za/tools/measure","setout.co.za/tools/measure")</f>
        <v/>
      </c>
      <c r="G32" s="8" t="n"/>
      <c r="H32" s="1" t="n"/>
    </row>
    <row r="33">
      <c r="A33" s="1" t="n"/>
      <c r="B33" s="10" t="inlineStr">
        <is>
          <t>P&amp;G calculator pack - preliminaries and general</t>
        </is>
      </c>
      <c r="C33" s="8" t="n"/>
      <c r="D33" s="8" t="n"/>
      <c r="E33" s="8" t="n"/>
      <c r="F33" s="11">
        <f>HYPERLINK("https://setout.co.za/tools/pg","setout.co.za/tools/pg")</f>
        <v/>
      </c>
      <c r="G33" s="8" t="n"/>
      <c r="H33" s="1" t="n"/>
    </row>
    <row r="34">
      <c r="A34" s="1" t="n"/>
      <c r="B34" s="10" t="inlineStr">
        <is>
          <t>BoQ Pricer - price a bill against benchmark rates</t>
        </is>
      </c>
      <c r="C34" s="8" t="n"/>
      <c r="D34" s="8" t="n"/>
      <c r="E34" s="8" t="n"/>
      <c r="F34" s="11">
        <f>HYPERLINK("https://setout.co.za/tools/boq-pricer","setout.co.za/tools/boq-pricer")</f>
        <v/>
      </c>
      <c r="G34" s="8" t="n"/>
      <c r="H34" s="1" t="n"/>
    </row>
    <row r="35">
      <c r="A35" s="1" t="n"/>
      <c r="B35" s="10" t="inlineStr">
        <is>
          <t>Free construction calculators</t>
        </is>
      </c>
      <c r="C35" s="8" t="n"/>
      <c r="D35" s="8" t="n"/>
      <c r="E35" s="8" t="n"/>
      <c r="F35" s="11">
        <f>HYPERLINK("https://setout.co.za/calculators","setout.co.za/calculators")</f>
        <v/>
      </c>
      <c r="G35" s="8" t="n"/>
      <c r="H35" s="1" t="n"/>
    </row>
    <row r="36">
      <c r="A36" s="1" t="n"/>
      <c r="B36" s="10" t="inlineStr">
        <is>
          <t>The Rate Sheet - one email a month on what moved</t>
        </is>
      </c>
      <c r="C36" s="8" t="n"/>
      <c r="D36" s="8" t="n"/>
      <c r="E36" s="8" t="n"/>
      <c r="F36" s="11">
        <f>HYPERLINK("https://setout.co.za/newsletter","setout.co.za/newsletter")</f>
        <v/>
      </c>
      <c r="G36" s="8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2" t="inlineStr">
        <is>
          <t>Want a second opinion on a plant purchase before you sign?  hello@setout.co.za</t>
        </is>
      </c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3" t="inlineStr">
        <is>
          <t>A planning tool, not a finance quote or tax advice. Every default is shown with its source; replace the orange ones with your own quotes. Confirm the tax treatment with your accountant. Version 1 - 19/10/2026.</t>
        </is>
      </c>
      <c r="H41" s="1" t="n"/>
    </row>
    <row r="42">
      <c r="A42" s="1" t="n"/>
      <c r="H42" s="1" t="n"/>
    </row>
    <row r="43">
      <c r="A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</sheetData>
  <mergeCells count="2">
    <mergeCell ref="B9:G11"/>
    <mergeCell ref="B41:G4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30" customHeight="1">
      <c r="A1" s="14" t="inlineStr">
        <is>
          <t>Setout plant decision workbook</t>
        </is>
      </c>
      <c r="B1" s="1" t="n"/>
    </row>
    <row r="2">
      <c r="A2" s="15" t="inlineStr">
        <is>
          <t>Setout | setout.co.za/guides/plant-own-finance-or-hire | v1 19/10/2026</t>
        </is>
      </c>
    </row>
    <row r="4">
      <c r="A4" s="12" t="inlineStr">
        <is>
          <t>What it does</t>
        </is>
      </c>
      <c r="B4" s="1" t="n"/>
    </row>
    <row r="5">
      <c r="A5" s="16" t="inlineStr">
        <is>
          <t>What it does</t>
        </is>
      </c>
      <c r="B5" s="17" t="inlineStr">
        <is>
          <t>Puts four ways of getting a machine on one footing: buy cash, instalment sale, operating lease, dry hire. Each becomes an after-tax cost per working hour in today's money, so the cheapest is the lowest number.</t>
        </is>
      </c>
    </row>
    <row r="7">
      <c r="A7" s="12" t="inlineStr">
        <is>
          <t>Step by step</t>
        </is>
      </c>
      <c r="B7" s="1" t="n"/>
    </row>
    <row r="8">
      <c r="A8" s="16" t="inlineStr">
        <is>
          <t>1. Machine and price</t>
        </is>
      </c>
      <c r="B8" s="17" t="inlineStr">
        <is>
          <t>Enter the delivered price excl VAT from a dealer quote. Why: depreciation and interest, the two biggest owning costs, are both a share of the price.</t>
        </is>
      </c>
    </row>
    <row r="9">
      <c r="A9" s="16" t="inlineStr">
        <is>
          <t>2. Years and hours</t>
        </is>
      </c>
      <c r="B9" s="17" t="inlineStr">
        <is>
          <t>Enter how long you will keep it and the hours a year you can bill. Why: owning costs are mostly fixed per year, so every hour you cannot bill makes each billed hour dearer. Hire has no idle cost.</t>
        </is>
      </c>
    </row>
    <row r="10">
      <c r="A10" s="16" t="inlineStr">
        <is>
          <t>3. Resale value</t>
        </is>
      </c>
      <c r="B10" s="17" t="inlineStr">
        <is>
          <t>Enter what it will fetch after N years as a % of the price. Why: you only consume price less resale. Check it against used listings of the same model and age.</t>
        </is>
      </c>
    </row>
    <row r="11">
      <c r="A11" s="16" t="inlineStr">
        <is>
          <t>4. Running costs</t>
        </is>
      </c>
      <c r="B11" s="17" t="inlineStr">
        <is>
          <t>Fuel, operator, upkeep and insurance. Why: these are the same whether you pay cash or finance, but hire rates already include the operator. The upkeep default is from a US example and probably high: replace it.</t>
        </is>
      </c>
    </row>
    <row r="12">
      <c r="A12" s="16" t="inlineStr">
        <is>
          <t>5. Finance and lease</t>
        </is>
      </c>
      <c r="B12" s="17" t="inlineStr">
        <is>
          <t>Enter the deposit, term, balloon and rate from your quote, and the lessor's rental if you have one. Why: the instalment sale changes when you pay, not what the machine costs; the rate and the tax deduction decide whether that helps.</t>
        </is>
      </c>
    </row>
    <row r="13">
      <c r="A13" s="16" t="inlineStr">
        <is>
          <t>6. Hire rate</t>
        </is>
      </c>
      <c r="B13" s="17" t="inlineStr">
        <is>
          <t>Enter the dry hire rate you can actually get for the months you need. Why: this is the alternative every owning option has to beat.</t>
        </is>
      </c>
    </row>
    <row r="14">
      <c r="A14" s="16" t="inlineStr">
        <is>
          <t>7. Read Compare and Break-even</t>
        </is>
      </c>
      <c r="B14" s="17" t="inlineStr">
        <is>
          <t>Compare gives the after-tax cost per hour for each option. Break-even gives the hours a year at which owning becomes cheaper than hiring. Why: if you cannot keep the machine busy past that point, hire it.</t>
        </is>
      </c>
    </row>
    <row r="16">
      <c r="A16" s="12" t="inlineStr">
        <is>
          <t>Rules the workbook applies</t>
        </is>
      </c>
      <c r="B16" s="1" t="n"/>
    </row>
    <row r="17">
      <c r="A17" s="16" t="inlineStr">
        <is>
          <t>Tax</t>
        </is>
      </c>
      <c r="B17" s="17" t="inlineStr">
        <is>
          <t>Wear-and-tear under s11(e) of the Income Tax Act, straight-line over the SARS period, from the first year. A buyer under an instalment credit agreement claims it too. Interest is deductible (s24J); lease and hire charges are deductible (s11(a)). On sale, allowances recovered are taxed as a recoupment (s8(4)(a)).</t>
        </is>
      </c>
    </row>
    <row r="18">
      <c r="A18" s="16" t="inlineStr">
        <is>
          <t>VAT</t>
        </is>
      </c>
      <c r="B18" s="17" t="inlineStr">
        <is>
          <t>All figures exclude VAT. A VAT vendor claims the input VAT on an instalment sale upfront on the cash value (VAT Act s9(3)(c), s10(6), s16(3)); on a rental, VAT is claimed on each invoice. A non-vendor should add 15% to every price.</t>
        </is>
      </c>
    </row>
    <row r="19">
      <c r="A19" s="16" t="inlineStr">
        <is>
          <t>Simplifications</t>
        </is>
      </c>
      <c r="B19" s="17" t="inlineStr">
        <is>
          <t>Annual periods; the machine is bought at the start of year 1 and sold at the end of year N. Inflation is ignored, so use today's prices throughout. Section 12C does not apply: it is for manufacturing plant.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90" customWidth="1" min="3" max="3"/>
    <col width="12" customWidth="1" min="4" max="4"/>
  </cols>
  <sheetData>
    <row r="1" ht="30" customHeight="1">
      <c r="A1" s="14" t="inlineStr">
        <is>
          <t>Inputs</t>
        </is>
      </c>
      <c r="B1" s="1" t="n"/>
      <c r="C1" s="1" t="n"/>
      <c r="D1" s="1" t="n"/>
    </row>
    <row r="2">
      <c r="A2" s="15" t="inlineStr">
        <is>
          <t>Green cells are inputs. Orange status: no South African source found - replace with a quote.</t>
        </is>
      </c>
    </row>
    <row r="3" ht="30" customHeight="1">
      <c r="A3" s="18" t="inlineStr">
        <is>
          <t>Input</t>
        </is>
      </c>
      <c r="B3" s="18" t="inlineStr">
        <is>
          <t>Value</t>
        </is>
      </c>
      <c r="C3" s="18" t="inlineStr">
        <is>
          <t>Basis and source</t>
        </is>
      </c>
      <c r="D3" s="18" t="inlineStr">
        <is>
          <t>Status</t>
        </is>
      </c>
    </row>
    <row r="4">
      <c r="A4" s="19" t="inlineStr">
        <is>
          <t>Machine and use</t>
        </is>
      </c>
      <c r="B4" s="20" t="n"/>
      <c r="C4" s="20" t="n"/>
      <c r="D4" s="20" t="n"/>
    </row>
    <row r="5" ht="30" customHeight="1">
      <c r="A5" s="21" t="inlineStr">
        <is>
          <t>Machine</t>
        </is>
      </c>
      <c r="B5" s="22" t="inlineStr">
        <is>
          <t>20 t excavator, new (SANY SY215C class)</t>
        </is>
      </c>
      <c r="C5" s="23" t="inlineStr">
        <is>
          <t>Describe the machine you are pricing.</t>
        </is>
      </c>
    </row>
    <row r="6" ht="30" customHeight="1">
      <c r="A6" s="21" t="inlineStr">
        <is>
          <t>Delivered price excl VAT (R)</t>
        </is>
      </c>
      <c r="B6" s="24" t="n">
        <v>1850000</v>
      </c>
      <c r="C6" s="23" t="inlineStr">
        <is>
          <t>SANY SY215C 2026, R1 850 000 + VAT, Truck &amp; Trailer listing seen 19/10/2026. Use your dealer quote.</t>
        </is>
      </c>
      <c r="D6" s="25" t="inlineStr">
        <is>
          <t>Sourced</t>
        </is>
      </c>
    </row>
    <row r="7" ht="30" customHeight="1">
      <c r="A7" s="21" t="inlineStr">
        <is>
          <t>Years you will keep it (N)</t>
        </is>
      </c>
      <c r="B7" s="26" t="n">
        <v>7</v>
      </c>
      <c r="C7" s="23" t="inlineStr">
        <is>
          <t>Ownership period. Caterpillar's worked example uses 7 years (Performance Handbook 49, p.25-53).</t>
        </is>
      </c>
      <c r="D7" s="25" t="inlineStr">
        <is>
          <t>Sourced</t>
        </is>
      </c>
    </row>
    <row r="8" ht="30" customHeight="1">
      <c r="A8" s="21" t="inlineStr">
        <is>
          <t>Working hours per year</t>
        </is>
      </c>
      <c r="B8" s="26" t="n">
        <v>1200</v>
      </c>
      <c r="C8" s="23" t="inlineStr">
        <is>
          <t>Hours on the meter you can bill. The single biggest driver of the answer.</t>
        </is>
      </c>
      <c r="D8" s="25" t="inlineStr">
        <is>
          <t>Sourced</t>
        </is>
      </c>
    </row>
    <row r="9" ht="30" customHeight="1">
      <c r="A9" s="21" t="inlineStr">
        <is>
          <t>Resale value after N years (% of price)</t>
        </is>
      </c>
      <c r="B9" s="27" t="n">
        <v>0.35</v>
      </c>
      <c r="C9" s="23" t="inlineStr">
        <is>
          <t>35% after 7 years in the Caterpillar example (p.25-53). Check against used listings, e.g. 2015 Komatsu PC200 at R695 000.</t>
        </is>
      </c>
      <c r="D9" s="25" t="inlineStr">
        <is>
          <t>Sourced</t>
        </is>
      </c>
    </row>
    <row r="10">
      <c r="A10" s="19" t="inlineStr">
        <is>
          <t>Running the machine</t>
        </is>
      </c>
      <c r="B10" s="20" t="n"/>
      <c r="C10" s="20" t="n"/>
      <c r="D10" s="20" t="n"/>
    </row>
    <row r="11" ht="30" customHeight="1">
      <c r="A11" s="21" t="inlineStr">
        <is>
          <t>Fuel use (L/h)</t>
        </is>
      </c>
      <c r="B11" s="28" t="n">
        <v>13.6</v>
      </c>
      <c r="C11" s="23" t="inlineStr">
        <is>
          <t>CAT 320F medium band 10.9-16.3 L/h, midpoint (Performance Handbook 49, fuel tables).</t>
        </is>
      </c>
      <c r="D11" s="25" t="inlineStr">
        <is>
          <t>Sourced</t>
        </is>
      </c>
    </row>
    <row r="12" ht="30" customHeight="1">
      <c r="A12" s="21" t="inlineStr">
        <is>
          <t>Diesel (R/L)</t>
        </is>
      </c>
      <c r="B12" s="28" t="n">
        <v>29.11</v>
      </c>
      <c r="C12" s="23" t="inlineStr">
        <is>
          <t>Wholesale inland 0.05% S from 02/09/2026 (DMRE adjustment). Update monthly.</t>
        </is>
      </c>
      <c r="D12" s="25" t="inlineStr">
        <is>
          <t>Sourced</t>
        </is>
      </c>
    </row>
    <row r="13" ht="30" customHeight="1">
      <c r="A13" s="21" t="inlineStr">
        <is>
          <t>Operator (R/h, loaded)</t>
        </is>
      </c>
      <c r="B13" s="28" t="n">
        <v>107.86</v>
      </c>
      <c r="C13" s="23" t="inlineStr">
        <is>
          <t>BIBC operator R82.97/h + 30% on-cost (Setout rate library 09/2026).</t>
        </is>
      </c>
      <c r="D13" s="25" t="inlineStr">
        <is>
          <t>Sourced</t>
        </is>
      </c>
    </row>
    <row r="14" ht="30" customHeight="1">
      <c r="A14" s="21" t="inlineStr">
        <is>
          <t>Maintenance, repairs, wear and undercarriage (% of price per 1 000 h)</t>
        </is>
      </c>
      <c r="B14" s="27" t="n">
        <v>0.106</v>
      </c>
      <c r="C14" s="23" t="inlineStr">
        <is>
          <t>ASSUMPTION. Derived from the Caterpillar track-type tractor example (lines 9, 10b, 11, 12 / price, p.25-53), which uses US labour at $60/h, so it is likely high for South Africa. Replace with your dealer's estimate.</t>
        </is>
      </c>
      <c r="D14" s="29" t="inlineStr">
        <is>
          <t>Assumption</t>
        </is>
      </c>
    </row>
    <row r="15" ht="30" customHeight="1">
      <c r="A15" s="21" t="inlineStr">
        <is>
          <t>Insurance (% of average investment a year)</t>
        </is>
      </c>
      <c r="B15" s="27" t="n">
        <v>0.01</v>
      </c>
      <c r="C15" s="23" t="inlineStr">
        <is>
          <t>ASSUMPTION. 1% is the Caterpillar example rate; no South African insurer publishes a plant rate. Use your broker's quote.</t>
        </is>
      </c>
      <c r="D15" s="29" t="inlineStr">
        <is>
          <t>Assumption</t>
        </is>
      </c>
    </row>
    <row r="16">
      <c r="A16" s="19" t="inlineStr">
        <is>
          <t>Money</t>
        </is>
      </c>
      <c r="B16" s="20" t="n"/>
      <c r="C16" s="20" t="n"/>
      <c r="D16" s="20" t="n"/>
    </row>
    <row r="17" ht="30" customHeight="1">
      <c r="A17" s="21" t="inlineStr">
        <is>
          <t>Interest rate (% a year)</t>
        </is>
      </c>
      <c r="B17" s="27" t="n">
        <v>0.1075</v>
      </c>
      <c r="C17" s="23" t="inlineStr">
        <is>
          <t>Prime 10.75% from 25/09/2026 (SARB). Use the rate on your finance quote; prime is the opportunity cost of your own cash.</t>
        </is>
      </c>
      <c r="D17" s="25" t="inlineStr">
        <is>
          <t>Sourced</t>
        </is>
      </c>
    </row>
    <row r="18" ht="30" customHeight="1">
      <c r="A18" s="21" t="inlineStr">
        <is>
          <t>Company tax rate</t>
        </is>
      </c>
      <c r="B18" s="27" t="n">
        <v>0.27</v>
      </c>
      <c r="C18" s="23" t="inlineStr">
        <is>
          <t>27% for years of assessment ending on or after 31/03/2023 (SARS).</t>
        </is>
      </c>
      <c r="D18" s="25" t="inlineStr">
        <is>
          <t>Sourced</t>
        </is>
      </c>
    </row>
    <row r="19" ht="30" customHeight="1">
      <c r="A19" s="21" t="inlineStr">
        <is>
          <t>Wear-and-tear write-off (years)</t>
        </is>
      </c>
      <c r="B19" s="26" t="n">
        <v>4</v>
      </c>
      <c r="C19" s="23" t="inlineStr">
        <is>
          <t>Excavators, front-end loaders, graders, tractors 4 years; bulldozers and heavy trucks 3 (SARS BGR 7 / IN 47 Issue 5, 09/02/2021).</t>
        </is>
      </c>
      <c r="D19" s="25" t="inlineStr">
        <is>
          <t>Sourced</t>
        </is>
      </c>
    </row>
    <row r="20" ht="30" customHeight="1">
      <c r="A20" s="21" t="inlineStr">
        <is>
          <t>Discount rate (after tax)</t>
        </is>
      </c>
      <c r="B20" s="30">
        <f>m_rate*(1-m_tax)</f>
        <v/>
      </c>
      <c r="C20" s="23" t="inlineStr">
        <is>
          <t>After-tax cost of borrowing: compares money spent in different years.</t>
        </is>
      </c>
    </row>
    <row r="21">
      <c r="A21" s="19" t="inlineStr">
        <is>
          <t>Instalment sale (finance)</t>
        </is>
      </c>
      <c r="B21" s="20" t="n"/>
      <c r="C21" s="20" t="n"/>
      <c r="D21" s="20" t="n"/>
    </row>
    <row r="22" ht="30" customHeight="1">
      <c r="A22" s="21" t="inlineStr">
        <is>
          <t>Deposit (% of price)</t>
        </is>
      </c>
      <c r="B22" s="27" t="n">
        <v>0.15</v>
      </c>
      <c r="C22" s="23" t="inlineStr">
        <is>
          <t>15% on a 36-month WesBank equipment promotion (2025, news report). Use your quote.</t>
        </is>
      </c>
      <c r="D22" s="29" t="inlineStr">
        <is>
          <t>Undated</t>
        </is>
      </c>
    </row>
    <row r="23" ht="30" customHeight="1">
      <c r="A23" s="21" t="inlineStr">
        <is>
          <t>Term (months)</t>
        </is>
      </c>
      <c r="B23" s="26" t="n">
        <v>60</v>
      </c>
      <c r="C23" s="23" t="inlineStr">
        <is>
          <t>Absa business instalment sale: 24 to 72 months (product page).</t>
        </is>
      </c>
      <c r="D23" s="25" t="inlineStr">
        <is>
          <t>Sourced</t>
        </is>
      </c>
    </row>
    <row r="24" ht="30" customHeight="1">
      <c r="A24" s="21" t="inlineStr">
        <is>
          <t>Balloon (% of price)</t>
        </is>
      </c>
      <c r="B24" s="27" t="n">
        <v>0</v>
      </c>
      <c r="C24" s="23" t="inlineStr">
        <is>
          <t>Optional final payment. A balloon lowers the instalment and raises the total interest.</t>
        </is>
      </c>
    </row>
    <row r="25" ht="30" customHeight="1">
      <c r="A25" s="21" t="inlineStr">
        <is>
          <t>Initiation fee (R)</t>
        </is>
      </c>
      <c r="B25" s="24" t="n">
        <v>0</v>
      </c>
      <c r="C25" s="23" t="inlineStr">
        <is>
          <t>Absa lists an initiation fee and a monthly service fee but publishes no amounts. Enter yours.</t>
        </is>
      </c>
      <c r="D25" s="29" t="inlineStr">
        <is>
          <t>Assumption</t>
        </is>
      </c>
    </row>
    <row r="26">
      <c r="A26" s="19" t="inlineStr">
        <is>
          <t>Operating lease</t>
        </is>
      </c>
      <c r="B26" s="20" t="n"/>
      <c r="C26" s="20" t="n"/>
      <c r="D26" s="20" t="n"/>
    </row>
    <row r="27" ht="30" customHeight="1">
      <c r="A27" s="21" t="inlineStr">
        <is>
          <t>Monthly rental excl VAT (R)</t>
        </is>
      </c>
      <c r="B27" s="24" t="n"/>
      <c r="C27" s="23" t="inlineStr">
        <is>
          <t>Leave blank to use the estimate below; enter the lessor's quote when you have it.</t>
        </is>
      </c>
    </row>
    <row r="28" ht="30" customHeight="1">
      <c r="A28" s="21" t="inlineStr">
        <is>
          <t>Estimated rental (R/month)</t>
        </is>
      </c>
      <c r="B28" s="31">
        <f>PMT(m_rate/12,m_years*12,-m_price,m_price*m_resid)</f>
        <v/>
      </c>
      <c r="C28" s="23" t="inlineStr">
        <is>
          <t>ESTIMATE: the payment that repays the price less the resale value over N years at the interest rate. A lessor will add margin.</t>
        </is>
      </c>
      <c r="D28" s="29" t="inlineStr">
        <is>
          <t>Assumption</t>
        </is>
      </c>
    </row>
    <row r="29" ht="30" customHeight="1">
      <c r="A29" s="21" t="inlineStr">
        <is>
          <t>Rental used (R/month)</t>
        </is>
      </c>
      <c r="B29" s="31">
        <f>IF(l_rental_in="",l_rental_est,l_rental_in)</f>
        <v/>
      </c>
      <c r="C29" s="23" t="inlineStr"/>
    </row>
    <row r="30">
      <c r="A30" s="19" t="inlineStr">
        <is>
          <t>Hire</t>
        </is>
      </c>
      <c r="B30" s="20" t="n"/>
      <c r="C30" s="20" t="n"/>
      <c r="D30" s="20" t="n"/>
    </row>
    <row r="31" ht="30" customHeight="1">
      <c r="A31" s="21" t="inlineStr">
        <is>
          <t>Dry hire rate (R/h, operator included, diesel extra)</t>
        </is>
      </c>
      <c r="B31" s="28" t="n">
        <v>355</v>
      </c>
      <c r="C31" s="23" t="inlineStr">
        <is>
          <t>Median of seven 2025/26 South African listings for 20-30 t excavators, range R240-R659/h (Winton, MACP, Siyashesha).</t>
        </is>
      </c>
      <c r="D31" s="29" t="inlineStr">
        <is>
          <t>Undated</t>
        </is>
      </c>
    </row>
    <row r="32" ht="30" customHeight="1">
      <c r="A32" s="21" t="inlineStr">
        <is>
          <t>Hire basis</t>
        </is>
      </c>
      <c r="B32" s="21" t="inlineStr">
        <is>
          <t>Dry = operator supplied, you buy diesel. Wet = fuel included too.</t>
        </is>
      </c>
      <c r="C32" s="2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8" customWidth="1" min="2" max="2"/>
    <col width="70" customWidth="1" min="3" max="3"/>
  </cols>
  <sheetData>
    <row r="1" ht="30" customHeight="1">
      <c r="A1" s="14" t="inlineStr">
        <is>
          <t>Owning and operating cost per hour</t>
        </is>
      </c>
      <c r="B1" s="1" t="n"/>
      <c r="C1" s="1" t="n"/>
    </row>
    <row r="2">
      <c r="A2" s="15" t="inlineStr">
        <is>
          <t>Caterpillar Performance Handbook 49, section 25 method. Before tax.</t>
        </is>
      </c>
    </row>
    <row r="3" ht="30" customHeight="1">
      <c r="A3" s="18" t="inlineStr">
        <is>
          <t>Line</t>
        </is>
      </c>
      <c r="B3" s="18" t="inlineStr">
        <is>
          <t>R</t>
        </is>
      </c>
      <c r="C3" s="18" t="inlineStr">
        <is>
          <t>How it is worked out</t>
        </is>
      </c>
    </row>
    <row r="4">
      <c r="A4" s="21" t="inlineStr">
        <is>
          <t>Residual value (S)</t>
        </is>
      </c>
      <c r="B4" s="31">
        <f>m_price*m_resid</f>
        <v/>
      </c>
      <c r="C4" s="32" t="inlineStr">
        <is>
          <t>Price x resale %</t>
        </is>
      </c>
    </row>
    <row r="5">
      <c r="A5" s="21" t="inlineStr">
        <is>
          <t>Total hours (N x hours/year)</t>
        </is>
      </c>
      <c r="B5" s="31">
        <f>m_years*m_hours</f>
        <v/>
      </c>
      <c r="C5" s="32" t="inlineStr"/>
    </row>
    <row r="6">
      <c r="A6" s="21" t="inlineStr">
        <is>
          <t>Average annual investment</t>
        </is>
      </c>
      <c r="B6" s="31">
        <f>(m_price*(m_years+1)+o_resid*(m_years-1))/(2*m_years)</f>
        <v/>
      </c>
      <c r="C6" s="32" t="inlineStr">
        <is>
          <t>[P(N+1) + S(N-1)] / 2N (handbook p.25-7)</t>
        </is>
      </c>
    </row>
    <row r="7">
      <c r="A7" s="21" t="inlineStr">
        <is>
          <t>Depreciation per hour</t>
        </is>
      </c>
      <c r="B7" s="31">
        <f>(m_price-o_resid)/o_hours</f>
        <v/>
      </c>
      <c r="C7" s="32" t="inlineStr">
        <is>
          <t>(P - S) / total hours</t>
        </is>
      </c>
    </row>
    <row r="8">
      <c r="A8" s="21" t="inlineStr">
        <is>
          <t>Interest per hour</t>
        </is>
      </c>
      <c r="B8" s="31">
        <f>o_avg*m_rate/m_hours</f>
        <v/>
      </c>
      <c r="C8" s="32" t="inlineStr">
        <is>
          <t>Average investment x rate / hours a year</t>
        </is>
      </c>
    </row>
    <row r="9">
      <c r="A9" s="21" t="inlineStr">
        <is>
          <t>Insurance per hour</t>
        </is>
      </c>
      <c r="B9" s="31">
        <f>o_avg*m_ins/m_hours</f>
        <v/>
      </c>
      <c r="C9" s="32" t="inlineStr">
        <is>
          <t>Average investment x insurance % / hours a year</t>
        </is>
      </c>
    </row>
    <row r="10">
      <c r="A10" s="33" t="inlineStr">
        <is>
          <t>OWNING COST PER HOUR</t>
        </is>
      </c>
      <c r="B10" s="34">
        <f>o_dep+o_int+o_ins</f>
        <v/>
      </c>
      <c r="C10" s="32" t="inlineStr">
        <is>
          <t>Fixed: you pay it whether the machine works or not</t>
        </is>
      </c>
    </row>
    <row r="11">
      <c r="A11" s="21" t="inlineStr">
        <is>
          <t>Fuel per hour</t>
        </is>
      </c>
      <c r="B11" s="31">
        <f>m_fuel*m_diesel</f>
        <v/>
      </c>
      <c r="C11" s="32" t="inlineStr">
        <is>
          <t>L/h x R/L</t>
        </is>
      </c>
    </row>
    <row r="12">
      <c r="A12" s="21" t="inlineStr">
        <is>
          <t>Maintenance, repairs, wear, undercarriage per hour</t>
        </is>
      </c>
      <c r="B12" s="31">
        <f>m_maint*m_price/1000</f>
        <v/>
      </c>
      <c r="C12" s="32" t="inlineStr">
        <is>
          <t>% of price per 1 000 h</t>
        </is>
      </c>
    </row>
    <row r="13">
      <c r="A13" s="21" t="inlineStr">
        <is>
          <t>Operator per hour</t>
        </is>
      </c>
      <c r="B13" s="31">
        <f>m_operator</f>
        <v/>
      </c>
      <c r="C13" s="32" t="inlineStr"/>
    </row>
    <row r="14">
      <c r="A14" s="33" t="inlineStr">
        <is>
          <t>OPERATING COST PER HOUR</t>
        </is>
      </c>
      <c r="B14" s="34">
        <f>o_fuel+o_maint+o_op</f>
        <v/>
      </c>
      <c r="C14" s="32" t="inlineStr">
        <is>
          <t>Variable: only when it works</t>
        </is>
      </c>
    </row>
    <row r="15">
      <c r="A15" s="33" t="inlineStr">
        <is>
          <t>OWNING AND OPERATING COST PER HOUR</t>
        </is>
      </c>
      <c r="B15" s="34">
        <f>o_own+o_run</f>
        <v/>
      </c>
      <c r="C15" s="32" t="inlineStr">
        <is>
          <t>Compare with a wet hire rate</t>
        </is>
      </c>
    </row>
    <row r="16">
      <c r="A16" s="21" t="inlineStr">
        <is>
          <t>Same, excluding fuel</t>
        </is>
      </c>
      <c r="B16" s="31">
        <f>o_own+o_maint+o_op</f>
        <v/>
      </c>
      <c r="C16" s="32" t="inlineStr">
        <is>
          <t>Compare with a dry hire rate (operator included)</t>
        </is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6" customWidth="1" min="14" max="14"/>
  </cols>
  <sheetData>
    <row r="1" ht="30" customHeight="1">
      <c r="A1" s="14" t="inlineStr">
        <is>
          <t>After-tax cash flow by option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15" t="inlineStr">
        <is>
          <t>Cost is positive. Year 0 = purchase day. Columns beyond year N are ignored.</t>
        </is>
      </c>
    </row>
    <row r="4" ht="30" customHeight="1">
      <c r="A4" s="18" t="inlineStr">
        <is>
          <t>Line</t>
        </is>
      </c>
      <c r="B4" s="18" t="inlineStr"/>
      <c r="C4" s="18" t="inlineStr">
        <is>
          <t>Year 0</t>
        </is>
      </c>
      <c r="D4" s="18" t="inlineStr">
        <is>
          <t>Year 1</t>
        </is>
      </c>
      <c r="E4" s="18" t="inlineStr">
        <is>
          <t>Year 2</t>
        </is>
      </c>
      <c r="F4" s="18" t="inlineStr">
        <is>
          <t>Year 3</t>
        </is>
      </c>
      <c r="G4" s="18" t="inlineStr">
        <is>
          <t>Year 4</t>
        </is>
      </c>
      <c r="H4" s="18" t="inlineStr">
        <is>
          <t>Year 5</t>
        </is>
      </c>
      <c r="I4" s="18" t="inlineStr">
        <is>
          <t>Year 6</t>
        </is>
      </c>
      <c r="J4" s="18" t="inlineStr">
        <is>
          <t>Year 7</t>
        </is>
      </c>
      <c r="K4" s="18" t="inlineStr">
        <is>
          <t>Year 8</t>
        </is>
      </c>
      <c r="L4" s="18" t="inlineStr">
        <is>
          <t>Year 9</t>
        </is>
      </c>
      <c r="M4" s="18" t="inlineStr">
        <is>
          <t>Year 10</t>
        </is>
      </c>
      <c r="N4" s="18" t="inlineStr">
        <is>
          <t>NPV</t>
        </is>
      </c>
    </row>
    <row r="5">
      <c r="A5" s="21" t="inlineStr">
        <is>
          <t>Year</t>
        </is>
      </c>
      <c r="C5" s="35" t="n">
        <v>0</v>
      </c>
      <c r="D5" s="35" t="n">
        <v>1</v>
      </c>
      <c r="E5" s="35" t="n">
        <v>2</v>
      </c>
      <c r="F5" s="35" t="n">
        <v>3</v>
      </c>
      <c r="G5" s="35" t="n">
        <v>4</v>
      </c>
      <c r="H5" s="35" t="n">
        <v>5</v>
      </c>
      <c r="I5" s="35" t="n">
        <v>6</v>
      </c>
      <c r="J5" s="35" t="n">
        <v>7</v>
      </c>
      <c r="K5" s="35" t="n">
        <v>8</v>
      </c>
      <c r="L5" s="35" t="n">
        <v>9</v>
      </c>
      <c r="M5" s="35" t="n">
        <v>10</v>
      </c>
    </row>
    <row r="6">
      <c r="A6" s="21" t="inlineStr">
        <is>
          <t>In the analysis period (1 = yes)</t>
        </is>
      </c>
      <c r="C6" s="36">
        <f>IF(C5&lt;=m_years,1,0)</f>
        <v/>
      </c>
      <c r="D6" s="36">
        <f>IF(D5&lt;=m_years,1,0)</f>
        <v/>
      </c>
      <c r="E6" s="36">
        <f>IF(E5&lt;=m_years,1,0)</f>
        <v/>
      </c>
      <c r="F6" s="36">
        <f>IF(F5&lt;=m_years,1,0)</f>
        <v/>
      </c>
      <c r="G6" s="36">
        <f>IF(G5&lt;=m_years,1,0)</f>
        <v/>
      </c>
      <c r="H6" s="36">
        <f>IF(H5&lt;=m_years,1,0)</f>
        <v/>
      </c>
      <c r="I6" s="36">
        <f>IF(I5&lt;=m_years,1,0)</f>
        <v/>
      </c>
      <c r="J6" s="36">
        <f>IF(J5&lt;=m_years,1,0)</f>
        <v/>
      </c>
      <c r="K6" s="36">
        <f>IF(K5&lt;=m_years,1,0)</f>
        <v/>
      </c>
      <c r="L6" s="36">
        <f>IF(L5&lt;=m_years,1,0)</f>
        <v/>
      </c>
      <c r="M6" s="36">
        <f>IF(M5&lt;=m_years,1,0)</f>
        <v/>
      </c>
    </row>
    <row r="8">
      <c r="A8" s="21" t="inlineStr">
        <is>
          <t>Running cost a year (fuel, upkeep, operator, insurance)</t>
        </is>
      </c>
      <c r="C8" s="37" t="n"/>
      <c r="D8" s="31">
        <f>(D6)*((o_fuel+o_maint+o_op)*m_hours+o_avg*m_ins)</f>
        <v/>
      </c>
      <c r="E8" s="31">
        <f>(E6)*((o_fuel+o_maint+o_op)*m_hours+o_avg*m_ins)</f>
        <v/>
      </c>
      <c r="F8" s="31">
        <f>(F6)*((o_fuel+o_maint+o_op)*m_hours+o_avg*m_ins)</f>
        <v/>
      </c>
      <c r="G8" s="31">
        <f>(G6)*((o_fuel+o_maint+o_op)*m_hours+o_avg*m_ins)</f>
        <v/>
      </c>
      <c r="H8" s="31">
        <f>(H6)*((o_fuel+o_maint+o_op)*m_hours+o_avg*m_ins)</f>
        <v/>
      </c>
      <c r="I8" s="31">
        <f>(I6)*((o_fuel+o_maint+o_op)*m_hours+o_avg*m_ins)</f>
        <v/>
      </c>
      <c r="J8" s="31">
        <f>(J6)*((o_fuel+o_maint+o_op)*m_hours+o_avg*m_ins)</f>
        <v/>
      </c>
      <c r="K8" s="31">
        <f>(K6)*((o_fuel+o_maint+o_op)*m_hours+o_avg*m_ins)</f>
        <v/>
      </c>
      <c r="L8" s="31">
        <f>(L6)*((o_fuel+o_maint+o_op)*m_hours+o_avg*m_ins)</f>
        <v/>
      </c>
      <c r="M8" s="31">
        <f>(M6)*((o_fuel+o_maint+o_op)*m_hours+o_avg*m_ins)</f>
        <v/>
      </c>
    </row>
    <row r="9">
      <c r="A9" s="21" t="inlineStr">
        <is>
          <t>Wear-and-tear allowance</t>
        </is>
      </c>
      <c r="C9" s="37" t="n"/>
      <c r="D9" s="31">
        <f>IF(AND(D5&gt;=1,D5&lt;=m_wt,D5&lt;=m_years),m_price/m_wt,0)</f>
        <v/>
      </c>
      <c r="E9" s="31">
        <f>IF(AND(E5&gt;=1,E5&lt;=m_wt,E5&lt;=m_years),m_price/m_wt,0)</f>
        <v/>
      </c>
      <c r="F9" s="31">
        <f>IF(AND(F5&gt;=1,F5&lt;=m_wt,F5&lt;=m_years),m_price/m_wt,0)</f>
        <v/>
      </c>
      <c r="G9" s="31">
        <f>IF(AND(G5&gt;=1,G5&lt;=m_wt,G5&lt;=m_years),m_price/m_wt,0)</f>
        <v/>
      </c>
      <c r="H9" s="31">
        <f>IF(AND(H5&gt;=1,H5&lt;=m_wt,H5&lt;=m_years),m_price/m_wt,0)</f>
        <v/>
      </c>
      <c r="I9" s="31">
        <f>IF(AND(I5&gt;=1,I5&lt;=m_wt,I5&lt;=m_years),m_price/m_wt,0)</f>
        <v/>
      </c>
      <c r="J9" s="31">
        <f>IF(AND(J5&gt;=1,J5&lt;=m_wt,J5&lt;=m_years),m_price/m_wt,0)</f>
        <v/>
      </c>
      <c r="K9" s="31">
        <f>IF(AND(K5&gt;=1,K5&lt;=m_wt,K5&lt;=m_years),m_price/m_wt,0)</f>
        <v/>
      </c>
      <c r="L9" s="31">
        <f>IF(AND(L5&gt;=1,L5&lt;=m_wt,L5&lt;=m_years),m_price/m_wt,0)</f>
        <v/>
      </c>
      <c r="M9" s="31">
        <f>IF(AND(M5&gt;=1,M5&lt;=m_wt,M5&lt;=m_years),m_price/m_wt,0)</f>
        <v/>
      </c>
    </row>
    <row r="10">
      <c r="A10" s="21" t="inlineStr">
        <is>
          <t>Resale proceeds (end of year N)</t>
        </is>
      </c>
      <c r="C10" s="37" t="n"/>
      <c r="D10" s="31">
        <f>IF(D5=m_years,o_resid,0)</f>
        <v/>
      </c>
      <c r="E10" s="31">
        <f>IF(E5=m_years,o_resid,0)</f>
        <v/>
      </c>
      <c r="F10" s="31">
        <f>IF(F5=m_years,o_resid,0)</f>
        <v/>
      </c>
      <c r="G10" s="31">
        <f>IF(G5=m_years,o_resid,0)</f>
        <v/>
      </c>
      <c r="H10" s="31">
        <f>IF(H5=m_years,o_resid,0)</f>
        <v/>
      </c>
      <c r="I10" s="31">
        <f>IF(I5=m_years,o_resid,0)</f>
        <v/>
      </c>
      <c r="J10" s="31">
        <f>IF(J5=m_years,o_resid,0)</f>
        <v/>
      </c>
      <c r="K10" s="31">
        <f>IF(K5=m_years,o_resid,0)</f>
        <v/>
      </c>
      <c r="L10" s="31">
        <f>IF(L5=m_years,o_resid,0)</f>
        <v/>
      </c>
      <c r="M10" s="31">
        <f>IF(M5=m_years,o_resid,0)</f>
        <v/>
      </c>
    </row>
    <row r="11">
      <c r="A11" s="21" t="inlineStr">
        <is>
          <t>Tax on recoupment</t>
        </is>
      </c>
      <c r="C11" s="37" t="n"/>
      <c r="D11" s="31">
        <f>IF(D5=m_years,m_tax*MIN(o_resid,SUM($D9:D9)),0)</f>
        <v/>
      </c>
      <c r="E11" s="31">
        <f>IF(E5=m_years,m_tax*MIN(o_resid,SUM($D9:E9)),0)</f>
        <v/>
      </c>
      <c r="F11" s="31">
        <f>IF(F5=m_years,m_tax*MIN(o_resid,SUM($D9:F9)),0)</f>
        <v/>
      </c>
      <c r="G11" s="31">
        <f>IF(G5=m_years,m_tax*MIN(o_resid,SUM($D9:G9)),0)</f>
        <v/>
      </c>
      <c r="H11" s="31">
        <f>IF(H5=m_years,m_tax*MIN(o_resid,SUM($D9:H9)),0)</f>
        <v/>
      </c>
      <c r="I11" s="31">
        <f>IF(I5=m_years,m_tax*MIN(o_resid,SUM($D9:I9)),0)</f>
        <v/>
      </c>
      <c r="J11" s="31">
        <f>IF(J5=m_years,m_tax*MIN(o_resid,SUM($D9:J9)),0)</f>
        <v/>
      </c>
      <c r="K11" s="31">
        <f>IF(K5=m_years,m_tax*MIN(o_resid,SUM($D9:K9)),0)</f>
        <v/>
      </c>
      <c r="L11" s="31">
        <f>IF(L5=m_years,m_tax*MIN(o_resid,SUM($D9:L9)),0)</f>
        <v/>
      </c>
      <c r="M11" s="31">
        <f>IF(M5=m_years,m_tax*MIN(o_resid,SUM($D9:M9)),0)</f>
        <v/>
      </c>
    </row>
    <row r="13">
      <c r="A13" s="19" t="inlineStr">
        <is>
          <t>1. BUY CASH</t>
        </is>
      </c>
    </row>
    <row r="14">
      <c r="A14" s="33" t="inlineStr">
        <is>
          <t>Net after-tax cost</t>
        </is>
      </c>
      <c r="C14" s="38">
        <f>m_price</f>
        <v/>
      </c>
      <c r="D14" s="38">
        <f>(D8)*(1-m_tax)-m_tax*D9-D10+D11</f>
        <v/>
      </c>
      <c r="E14" s="38">
        <f>(E8)*(1-m_tax)-m_tax*E9-E10+E11</f>
        <v/>
      </c>
      <c r="F14" s="38">
        <f>(F8)*(1-m_tax)-m_tax*F9-F10+F11</f>
        <v/>
      </c>
      <c r="G14" s="38">
        <f>(G8)*(1-m_tax)-m_tax*G9-G10+G11</f>
        <v/>
      </c>
      <c r="H14" s="38">
        <f>(H8)*(1-m_tax)-m_tax*H9-H10+H11</f>
        <v/>
      </c>
      <c r="I14" s="38">
        <f>(I8)*(1-m_tax)-m_tax*I9-I10+I11</f>
        <v/>
      </c>
      <c r="J14" s="38">
        <f>(J8)*(1-m_tax)-m_tax*J9-J10+J11</f>
        <v/>
      </c>
      <c r="K14" s="38">
        <f>(K8)*(1-m_tax)-m_tax*K9-K10+K11</f>
        <v/>
      </c>
      <c r="L14" s="38">
        <f>(L8)*(1-m_tax)-m_tax*L9-L10+L11</f>
        <v/>
      </c>
      <c r="M14" s="38">
        <f>(M8)*(1-m_tax)-m_tax*M9-M10+M11</f>
        <v/>
      </c>
      <c r="N14" s="34">
        <f>C14+SUMPRODUCT(D14:M14,1/(1+m_disc)^(D$5:M$5))</f>
        <v/>
      </c>
    </row>
    <row r="16">
      <c r="A16" s="19" t="inlineStr">
        <is>
          <t>2. INSTALMENT SALE</t>
        </is>
      </c>
    </row>
    <row r="17">
      <c r="A17" s="21" t="inlineStr">
        <is>
          <t>Amount financed</t>
        </is>
      </c>
      <c r="C17" s="31">
        <f>m_price*(1-f_dep)</f>
        <v/>
      </c>
      <c r="D17" s="37" t="n"/>
      <c r="E17" s="37" t="n"/>
      <c r="F17" s="37" t="n"/>
      <c r="G17" s="37" t="n"/>
      <c r="H17" s="37" t="n"/>
      <c r="I17" s="37" t="n"/>
      <c r="J17" s="37" t="n"/>
      <c r="K17" s="37" t="n"/>
      <c r="L17" s="37" t="n"/>
      <c r="M17" s="37" t="n"/>
    </row>
    <row r="18">
      <c r="A18" s="21" t="inlineStr">
        <is>
          <t>Monthly instalment</t>
        </is>
      </c>
      <c r="C18" s="31">
        <f>PMT(m_rate/12,f_term,-f_loan,m_price*f_balloon)</f>
        <v/>
      </c>
      <c r="D18" s="37" t="n"/>
      <c r="E18" s="37" t="n"/>
      <c r="F18" s="37" t="n"/>
      <c r="G18" s="37" t="n"/>
      <c r="H18" s="37" t="n"/>
      <c r="I18" s="37" t="n"/>
      <c r="J18" s="37" t="n"/>
      <c r="K18" s="37" t="n"/>
      <c r="L18" s="37" t="n"/>
      <c r="M18" s="37" t="n"/>
    </row>
    <row r="19">
      <c r="A19" s="21" t="inlineStr">
        <is>
          <t>Months paid in the year</t>
        </is>
      </c>
      <c r="C19" s="35" t="n"/>
      <c r="D19" s="36">
        <f>MAX(0,MIN(12,f_term-12*(D5-1)))</f>
        <v/>
      </c>
      <c r="E19" s="36">
        <f>MAX(0,MIN(12,f_term-12*(E5-1)))</f>
        <v/>
      </c>
      <c r="F19" s="36">
        <f>MAX(0,MIN(12,f_term-12*(F5-1)))</f>
        <v/>
      </c>
      <c r="G19" s="36">
        <f>MAX(0,MIN(12,f_term-12*(G5-1)))</f>
        <v/>
      </c>
      <c r="H19" s="36">
        <f>MAX(0,MIN(12,f_term-12*(H5-1)))</f>
        <v/>
      </c>
      <c r="I19" s="36">
        <f>MAX(0,MIN(12,f_term-12*(I5-1)))</f>
        <v/>
      </c>
      <c r="J19" s="36">
        <f>MAX(0,MIN(12,f_term-12*(J5-1)))</f>
        <v/>
      </c>
      <c r="K19" s="36">
        <f>MAX(0,MIN(12,f_term-12*(K5-1)))</f>
        <v/>
      </c>
      <c r="L19" s="36">
        <f>MAX(0,MIN(12,f_term-12*(L5-1)))</f>
        <v/>
      </c>
      <c r="M19" s="36">
        <f>MAX(0,MIN(12,f_term-12*(M5-1)))</f>
        <v/>
      </c>
    </row>
    <row r="20">
      <c r="A20" s="21" t="inlineStr">
        <is>
          <t>Balance at start of year</t>
        </is>
      </c>
      <c r="C20" s="37" t="n"/>
      <c r="D20" s="31">
        <f>IF(D19=0,0,-FV(m_rate/12,12*(D5-1),-f_pmt,f_loan))</f>
        <v/>
      </c>
      <c r="E20" s="31">
        <f>IF(E19=0,0,-FV(m_rate/12,12*(E5-1),-f_pmt,f_loan))</f>
        <v/>
      </c>
      <c r="F20" s="31">
        <f>IF(F19=0,0,-FV(m_rate/12,12*(F5-1),-f_pmt,f_loan))</f>
        <v/>
      </c>
      <c r="G20" s="31">
        <f>IF(G19=0,0,-FV(m_rate/12,12*(G5-1),-f_pmt,f_loan))</f>
        <v/>
      </c>
      <c r="H20" s="31">
        <f>IF(H19=0,0,-FV(m_rate/12,12*(H5-1),-f_pmt,f_loan))</f>
        <v/>
      </c>
      <c r="I20" s="31">
        <f>IF(I19=0,0,-FV(m_rate/12,12*(I5-1),-f_pmt,f_loan))</f>
        <v/>
      </c>
      <c r="J20" s="31">
        <f>IF(J19=0,0,-FV(m_rate/12,12*(J5-1),-f_pmt,f_loan))</f>
        <v/>
      </c>
      <c r="K20" s="31">
        <f>IF(K19=0,0,-FV(m_rate/12,12*(K5-1),-f_pmt,f_loan))</f>
        <v/>
      </c>
      <c r="L20" s="31">
        <f>IF(L19=0,0,-FV(m_rate/12,12*(L5-1),-f_pmt,f_loan))</f>
        <v/>
      </c>
      <c r="M20" s="31">
        <f>IF(M19=0,0,-FV(m_rate/12,12*(M5-1),-f_pmt,f_loan))</f>
        <v/>
      </c>
    </row>
    <row r="21">
      <c r="A21" s="21" t="inlineStr">
        <is>
          <t>Balance at end of year (before balloon)</t>
        </is>
      </c>
      <c r="C21" s="37" t="n"/>
      <c r="D21" s="31">
        <f>IF(D19=0,0,-FV(m_rate/12,12*(D5-1)+D19,-f_pmt,f_loan))</f>
        <v/>
      </c>
      <c r="E21" s="31">
        <f>IF(E19=0,0,-FV(m_rate/12,12*(E5-1)+E19,-f_pmt,f_loan))</f>
        <v/>
      </c>
      <c r="F21" s="31">
        <f>IF(F19=0,0,-FV(m_rate/12,12*(F5-1)+F19,-f_pmt,f_loan))</f>
        <v/>
      </c>
      <c r="G21" s="31">
        <f>IF(G19=0,0,-FV(m_rate/12,12*(G5-1)+G19,-f_pmt,f_loan))</f>
        <v/>
      </c>
      <c r="H21" s="31">
        <f>IF(H19=0,0,-FV(m_rate/12,12*(H5-1)+H19,-f_pmt,f_loan))</f>
        <v/>
      </c>
      <c r="I21" s="31">
        <f>IF(I19=0,0,-FV(m_rate/12,12*(I5-1)+I19,-f_pmt,f_loan))</f>
        <v/>
      </c>
      <c r="J21" s="31">
        <f>IF(J19=0,0,-FV(m_rate/12,12*(J5-1)+J19,-f_pmt,f_loan))</f>
        <v/>
      </c>
      <c r="K21" s="31">
        <f>IF(K19=0,0,-FV(m_rate/12,12*(K5-1)+K19,-f_pmt,f_loan))</f>
        <v/>
      </c>
      <c r="L21" s="31">
        <f>IF(L19=0,0,-FV(m_rate/12,12*(L5-1)+L19,-f_pmt,f_loan))</f>
        <v/>
      </c>
      <c r="M21" s="31">
        <f>IF(M19=0,0,-FV(m_rate/12,12*(M5-1)+M19,-f_pmt,f_loan))</f>
        <v/>
      </c>
    </row>
    <row r="22">
      <c r="A22" s="21" t="inlineStr">
        <is>
          <t>Instalments paid</t>
        </is>
      </c>
      <c r="C22" s="37" t="n"/>
      <c r="D22" s="31">
        <f>f_pmt*D19</f>
        <v/>
      </c>
      <c r="E22" s="31">
        <f>f_pmt*E19</f>
        <v/>
      </c>
      <c r="F22" s="31">
        <f>f_pmt*F19</f>
        <v/>
      </c>
      <c r="G22" s="31">
        <f>f_pmt*G19</f>
        <v/>
      </c>
      <c r="H22" s="31">
        <f>f_pmt*H19</f>
        <v/>
      </c>
      <c r="I22" s="31">
        <f>f_pmt*I19</f>
        <v/>
      </c>
      <c r="J22" s="31">
        <f>f_pmt*J19</f>
        <v/>
      </c>
      <c r="K22" s="31">
        <f>f_pmt*K19</f>
        <v/>
      </c>
      <c r="L22" s="31">
        <f>f_pmt*L19</f>
        <v/>
      </c>
      <c r="M22" s="31">
        <f>f_pmt*M19</f>
        <v/>
      </c>
    </row>
    <row r="23">
      <c r="A23" s="21" t="inlineStr">
        <is>
          <t>of which interest</t>
        </is>
      </c>
      <c r="C23" s="37" t="n"/>
      <c r="D23" s="31">
        <f>D22-(D20-D21)</f>
        <v/>
      </c>
      <c r="E23" s="31">
        <f>E22-(E20-E21)</f>
        <v/>
      </c>
      <c r="F23" s="31">
        <f>F22-(F20-F21)</f>
        <v/>
      </c>
      <c r="G23" s="31">
        <f>G22-(G20-G21)</f>
        <v/>
      </c>
      <c r="H23" s="31">
        <f>H22-(H20-H21)</f>
        <v/>
      </c>
      <c r="I23" s="31">
        <f>I22-(I20-I21)</f>
        <v/>
      </c>
      <c r="J23" s="31">
        <f>J22-(J20-J21)</f>
        <v/>
      </c>
      <c r="K23" s="31">
        <f>K22-(K20-K21)</f>
        <v/>
      </c>
      <c r="L23" s="31">
        <f>L22-(L20-L21)</f>
        <v/>
      </c>
      <c r="M23" s="31">
        <f>M22-(M20-M21)</f>
        <v/>
      </c>
    </row>
    <row r="24">
      <c r="A24" s="21" t="inlineStr">
        <is>
          <t>Balloon</t>
        </is>
      </c>
      <c r="C24" s="37" t="n"/>
      <c r="D24" s="31">
        <f>IF(AND(D19&gt;0,12*D5&gt;=f_term),m_price*f_balloon,0)</f>
        <v/>
      </c>
      <c r="E24" s="31">
        <f>IF(AND(E19&gt;0,12*E5&gt;=f_term),m_price*f_balloon,0)</f>
        <v/>
      </c>
      <c r="F24" s="31">
        <f>IF(AND(F19&gt;0,12*F5&gt;=f_term),m_price*f_balloon,0)</f>
        <v/>
      </c>
      <c r="G24" s="31">
        <f>IF(AND(G19&gt;0,12*G5&gt;=f_term),m_price*f_balloon,0)</f>
        <v/>
      </c>
      <c r="H24" s="31">
        <f>IF(AND(H19&gt;0,12*H5&gt;=f_term),m_price*f_balloon,0)</f>
        <v/>
      </c>
      <c r="I24" s="31">
        <f>IF(AND(I19&gt;0,12*I5&gt;=f_term),m_price*f_balloon,0)</f>
        <v/>
      </c>
      <c r="J24" s="31">
        <f>IF(AND(J19&gt;0,12*J5&gt;=f_term),m_price*f_balloon,0)</f>
        <v/>
      </c>
      <c r="K24" s="31">
        <f>IF(AND(K19&gt;0,12*K5&gt;=f_term),m_price*f_balloon,0)</f>
        <v/>
      </c>
      <c r="L24" s="31">
        <f>IF(AND(L19&gt;0,12*L5&gt;=f_term),m_price*f_balloon,0)</f>
        <v/>
      </c>
      <c r="M24" s="31">
        <f>IF(AND(M19&gt;0,12*M5&gt;=f_term),m_price*f_balloon,0)</f>
        <v/>
      </c>
    </row>
    <row r="25">
      <c r="A25" s="33" t="inlineStr">
        <is>
          <t>Net after-tax cost</t>
        </is>
      </c>
      <c r="C25" s="38">
        <f>m_price*f_dep+f_fee</f>
        <v/>
      </c>
      <c r="D25" s="38">
        <f>D22+D24-m_tax*D23-m_tax*D9+(D8)*(1-m_tax)-D10+D11</f>
        <v/>
      </c>
      <c r="E25" s="38">
        <f>E22+E24-m_tax*E23-m_tax*E9+(E8)*(1-m_tax)-E10+E11</f>
        <v/>
      </c>
      <c r="F25" s="38">
        <f>F22+F24-m_tax*F23-m_tax*F9+(F8)*(1-m_tax)-F10+F11</f>
        <v/>
      </c>
      <c r="G25" s="38">
        <f>G22+G24-m_tax*G23-m_tax*G9+(G8)*(1-m_tax)-G10+G11</f>
        <v/>
      </c>
      <c r="H25" s="38">
        <f>H22+H24-m_tax*H23-m_tax*H9+(H8)*(1-m_tax)-H10+H11</f>
        <v/>
      </c>
      <c r="I25" s="38">
        <f>I22+I24-m_tax*I23-m_tax*I9+(I8)*(1-m_tax)-I10+I11</f>
        <v/>
      </c>
      <c r="J25" s="38">
        <f>J22+J24-m_tax*J23-m_tax*J9+(J8)*(1-m_tax)-J10+J11</f>
        <v/>
      </c>
      <c r="K25" s="38">
        <f>K22+K24-m_tax*K23-m_tax*K9+(K8)*(1-m_tax)-K10+K11</f>
        <v/>
      </c>
      <c r="L25" s="38">
        <f>L22+L24-m_tax*L23-m_tax*L9+(L8)*(1-m_tax)-L10+L11</f>
        <v/>
      </c>
      <c r="M25" s="38">
        <f>M22+M24-m_tax*M23-m_tax*M9+(M8)*(1-m_tax)-M10+M11</f>
        <v/>
      </c>
      <c r="N25" s="34">
        <f>C25+SUMPRODUCT(D25:M25,1/(1+m_disc)^(D$5:M$5))</f>
        <v/>
      </c>
    </row>
    <row r="27">
      <c r="A27" s="19" t="inlineStr">
        <is>
          <t>3. OPERATING LEASE</t>
        </is>
      </c>
    </row>
    <row r="28">
      <c r="A28" s="33" t="inlineStr">
        <is>
          <t>Net after-tax cost</t>
        </is>
      </c>
      <c r="C28" s="38" t="n">
        <v>0</v>
      </c>
      <c r="D28" s="38">
        <f>(D6)*(l_rental*12+D8)*(1-m_tax)</f>
        <v/>
      </c>
      <c r="E28" s="38">
        <f>(E6)*(l_rental*12+E8)*(1-m_tax)</f>
        <v/>
      </c>
      <c r="F28" s="38">
        <f>(F6)*(l_rental*12+F8)*(1-m_tax)</f>
        <v/>
      </c>
      <c r="G28" s="38">
        <f>(G6)*(l_rental*12+G8)*(1-m_tax)</f>
        <v/>
      </c>
      <c r="H28" s="38">
        <f>(H6)*(l_rental*12+H8)*(1-m_tax)</f>
        <v/>
      </c>
      <c r="I28" s="38">
        <f>(I6)*(l_rental*12+I8)*(1-m_tax)</f>
        <v/>
      </c>
      <c r="J28" s="38">
        <f>(J6)*(l_rental*12+J8)*(1-m_tax)</f>
        <v/>
      </c>
      <c r="K28" s="38">
        <f>(K6)*(l_rental*12+K8)*(1-m_tax)</f>
        <v/>
      </c>
      <c r="L28" s="38">
        <f>(L6)*(l_rental*12+L8)*(1-m_tax)</f>
        <v/>
      </c>
      <c r="M28" s="38">
        <f>(M6)*(l_rental*12+M8)*(1-m_tax)</f>
        <v/>
      </c>
      <c r="N28" s="34">
        <f>C28+SUMPRODUCT(D28:M28,1/(1+m_disc)^(D$5:M$5))</f>
        <v/>
      </c>
    </row>
    <row r="30">
      <c r="A30" s="19" t="inlineStr">
        <is>
          <t>4. DRY HIRE</t>
        </is>
      </c>
    </row>
    <row r="31">
      <c r="A31" s="33" t="inlineStr">
        <is>
          <t>Net after-tax cost</t>
        </is>
      </c>
      <c r="C31" s="38" t="n">
        <v>0</v>
      </c>
      <c r="D31" s="38">
        <f>(D6)*(h_dry+o_fuel)*m_hours*(1-m_tax)</f>
        <v/>
      </c>
      <c r="E31" s="38">
        <f>(E6)*(h_dry+o_fuel)*m_hours*(1-m_tax)</f>
        <v/>
      </c>
      <c r="F31" s="38">
        <f>(F6)*(h_dry+o_fuel)*m_hours*(1-m_tax)</f>
        <v/>
      </c>
      <c r="G31" s="38">
        <f>(G6)*(h_dry+o_fuel)*m_hours*(1-m_tax)</f>
        <v/>
      </c>
      <c r="H31" s="38">
        <f>(H6)*(h_dry+o_fuel)*m_hours*(1-m_tax)</f>
        <v/>
      </c>
      <c r="I31" s="38">
        <f>(I6)*(h_dry+o_fuel)*m_hours*(1-m_tax)</f>
        <v/>
      </c>
      <c r="J31" s="38">
        <f>(J6)*(h_dry+o_fuel)*m_hours*(1-m_tax)</f>
        <v/>
      </c>
      <c r="K31" s="38">
        <f>(K6)*(h_dry+o_fuel)*m_hours*(1-m_tax)</f>
        <v/>
      </c>
      <c r="L31" s="38">
        <f>(L6)*(h_dry+o_fuel)*m_hours*(1-m_tax)</f>
        <v/>
      </c>
      <c r="M31" s="38">
        <f>(M6)*(h_dry+o_fuel)*m_hours*(1-m_tax)</f>
        <v/>
      </c>
      <c r="N31" s="34">
        <f>C31+SUMPRODUCT(D31:M31,1/(1+m_disc)^(D$5:M$5))</f>
        <v/>
      </c>
    </row>
    <row r="33">
      <c r="A33" s="19" t="inlineStr">
        <is>
          <t>RESULT - after-tax cost per working hour, in today's money</t>
        </is>
      </c>
    </row>
    <row r="34">
      <c r="A34" s="21" t="inlineStr">
        <is>
          <t>Annuity factor over N years</t>
        </is>
      </c>
      <c r="C34" s="39">
        <f>(1-(1+m_disc)^-m_years)/m_disc</f>
        <v/>
      </c>
    </row>
    <row r="35">
      <c r="A35" s="33" t="inlineStr">
        <is>
          <t>Buy cash</t>
        </is>
      </c>
      <c r="C35" s="34">
        <f>n_cash/n_af/m_hours</f>
        <v/>
      </c>
    </row>
    <row r="36">
      <c r="A36" s="33" t="inlineStr">
        <is>
          <t>Instalment sale</t>
        </is>
      </c>
      <c r="C36" s="34">
        <f>n_ica/n_af/m_hours</f>
        <v/>
      </c>
    </row>
    <row r="37">
      <c r="A37" s="33" t="inlineStr">
        <is>
          <t>Operating lease</t>
        </is>
      </c>
      <c r="C37" s="34">
        <f>n_lease/n_af/m_hours</f>
        <v/>
      </c>
    </row>
    <row r="38">
      <c r="A38" s="33" t="inlineStr">
        <is>
          <t>Dry hire</t>
        </is>
      </c>
      <c r="C38" s="34">
        <f>n_hire/n_af/m_hours</f>
        <v/>
      </c>
    </row>
    <row r="39">
      <c r="A39" s="33" t="inlineStr">
        <is>
          <t>Cheapest</t>
        </is>
      </c>
      <c r="C39" s="40">
        <f>IF(MIN(ph_cash,ph_ica,ph_lease,ph_hire)=ph_hire,"Dry hire",IF(MIN(ph_cash,ph_ica,ph_lease)=ph_ica,"Instalment sale",IF(MIN(ph_cash,ph_lease)=ph_cash,"Buy cash","Operating lease")))</f>
        <v/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64" customWidth="1" min="3" max="3"/>
  </cols>
  <sheetData>
    <row r="1" ht="30" customHeight="1">
      <c r="A1" s="14" t="inlineStr">
        <is>
          <t>Break-even hours: when owning beats dry hire</t>
        </is>
      </c>
      <c r="B1" s="1" t="n"/>
      <c r="C1" s="1" t="n"/>
    </row>
    <row r="2">
      <c r="A2" s="15" t="inlineStr">
        <is>
          <t>Before tax. Fixed owning cost a year / (dry hire rate - owner's own variable cost per hour).</t>
        </is>
      </c>
    </row>
    <row r="3" ht="30" customHeight="1">
      <c r="A3" s="18" t="inlineStr">
        <is>
          <t>Line</t>
        </is>
      </c>
      <c r="B3" s="18" t="inlineStr">
        <is>
          <t>Value</t>
        </is>
      </c>
      <c r="C3" s="18" t="inlineStr">
        <is>
          <t>Note</t>
        </is>
      </c>
    </row>
    <row r="4">
      <c r="A4" s="21" t="inlineStr">
        <is>
          <t>Fixed owning cost a year</t>
        </is>
      </c>
      <c r="B4" s="31">
        <f>o_own*m_hours</f>
        <v/>
      </c>
      <c r="C4" s="32" t="inlineStr">
        <is>
          <t>Depreciation + interest + insurance</t>
        </is>
      </c>
    </row>
    <row r="5">
      <c r="A5" s="21" t="inlineStr">
        <is>
          <t>Owner's variable cost per hour, excl fuel</t>
        </is>
      </c>
      <c r="B5" s="31">
        <f>o_maint+o_op</f>
        <v/>
      </c>
      <c r="C5" s="32" t="inlineStr">
        <is>
          <t>Upkeep + operator (dry hire includes the operator)</t>
        </is>
      </c>
    </row>
    <row r="6">
      <c r="A6" s="21" t="inlineStr">
        <is>
          <t>Dry hire rate</t>
        </is>
      </c>
      <c r="B6" s="31">
        <f>h_dry</f>
        <v/>
      </c>
      <c r="C6" s="32" t="inlineStr"/>
    </row>
    <row r="7">
      <c r="A7" s="21" t="inlineStr">
        <is>
          <t>Margin per hour that owning saves</t>
        </is>
      </c>
      <c r="B7" s="31">
        <f>B6-B5</f>
        <v/>
      </c>
      <c r="C7" s="32" t="inlineStr">
        <is>
          <t>If this is zero or negative, hire always wins</t>
        </is>
      </c>
    </row>
    <row r="8">
      <c r="A8" s="33" t="inlineStr">
        <is>
          <t>BREAK-EVEN HOURS A YEAR</t>
        </is>
      </c>
      <c r="B8" s="41">
        <f>IF(B7&lt;=0,"Hire always cheaper",B4/B7)</f>
        <v/>
      </c>
      <c r="C8" s="32" t="inlineStr">
        <is>
          <t>Below this, hire; above it, own</t>
        </is>
      </c>
    </row>
    <row r="9">
      <c r="A9" s="21" t="inlineStr">
        <is>
          <t>Your planned hours a year</t>
        </is>
      </c>
      <c r="B9" s="36">
        <f>m_hours</f>
        <v/>
      </c>
      <c r="C9" s="32" t="inlineStr"/>
    </row>
    <row r="12">
      <c r="A12" s="33" t="inlineStr">
        <is>
          <t>Sensitivity: break-even hours at other dry hire rates</t>
        </is>
      </c>
    </row>
    <row r="13" ht="30" customHeight="1">
      <c r="A13" s="18" t="inlineStr">
        <is>
          <t>Dry hire rate (R/h)</t>
        </is>
      </c>
      <c r="B13" s="18" t="inlineStr">
        <is>
          <t>Break-even h/yr</t>
        </is>
      </c>
      <c r="C13" s="18" t="inlineStr"/>
    </row>
    <row r="14">
      <c r="A14" s="24" t="n">
        <v>240</v>
      </c>
      <c r="B14" s="36">
        <f>IF(A14-$B$5&lt;=0,"never",$B$4/(A14-$B$5))</f>
        <v/>
      </c>
    </row>
    <row r="15">
      <c r="A15" s="24" t="n">
        <v>300</v>
      </c>
      <c r="B15" s="36">
        <f>IF(A15-$B$5&lt;=0,"never",$B$4/(A15-$B$5))</f>
        <v/>
      </c>
    </row>
    <row r="16">
      <c r="A16" s="24" t="n">
        <v>355</v>
      </c>
      <c r="B16" s="36">
        <f>IF(A16-$B$5&lt;=0,"never",$B$4/(A16-$B$5))</f>
        <v/>
      </c>
    </row>
    <row r="17">
      <c r="A17" s="24" t="n">
        <v>400</v>
      </c>
      <c r="B17" s="36">
        <f>IF(A17-$B$5&lt;=0,"never",$B$4/(A17-$B$5))</f>
        <v/>
      </c>
    </row>
    <row r="18">
      <c r="A18" s="24" t="n">
        <v>500</v>
      </c>
      <c r="B18" s="36">
        <f>IF(A18-$B$5&lt;=0,"never",$B$4/(A18-$B$5))</f>
        <v/>
      </c>
    </row>
    <row r="19">
      <c r="A19" s="24" t="n">
        <v>600</v>
      </c>
      <c r="B19" s="36">
        <f>IF(A19-$B$5&lt;=0,"never",$B$4/(A19-$B$5))</f>
        <v/>
      </c>
    </row>
    <row r="20">
      <c r="A20" s="24" t="n">
        <v>659</v>
      </c>
      <c r="B20" s="36">
        <f>IF(A20-$B$5&lt;=0,"never",$B$4/(A20-$B$5))</f>
        <v/>
      </c>
    </row>
    <row r="21">
      <c r="A21" s="24" t="n">
        <v>750</v>
      </c>
      <c r="B21" s="36">
        <f>IF(A21-$B$5&lt;=0,"never",$B$4/(A21-$B$5))</f>
        <v/>
      </c>
    </row>
  </sheetData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  <col width="70" customWidth="1" min="3" max="3"/>
  </cols>
  <sheetData>
    <row r="1" ht="30" customHeight="1">
      <c r="A1" s="14" t="inlineStr">
        <is>
          <t>Sources</t>
        </is>
      </c>
      <c r="B1" s="1" t="n"/>
      <c r="C1" s="1" t="n"/>
    </row>
    <row r="2">
      <c r="A2" s="15" t="inlineStr">
        <is>
          <t>Accessed 19/10/2026. Orange items on Inputs have no South African source.</t>
        </is>
      </c>
    </row>
    <row r="4" ht="30" customHeight="1">
      <c r="A4" s="18" t="inlineStr">
        <is>
          <t>Key</t>
        </is>
      </c>
      <c r="B4" s="18" t="inlineStr">
        <is>
          <t>Source</t>
        </is>
      </c>
      <c r="C4" s="18" t="inlineStr">
        <is>
          <t>Link</t>
        </is>
      </c>
    </row>
    <row r="5">
      <c r="A5" s="33" t="inlineStr">
        <is>
          <t>cat_phb49</t>
        </is>
      </c>
      <c r="B5" s="17" t="inlineStr">
        <is>
          <t>Caterpillar Performance Handbook, edition 49, section 25: owning and operating cost method, worked examples (p.25-50 to 25-53), fuel tables</t>
        </is>
      </c>
      <c r="C5" s="42" t="inlineStr">
        <is>
          <t>https://www.macallister.com/wp-content/uploads/sites/2/caterpillar-performance-handbook-49.pdf</t>
        </is>
      </c>
    </row>
    <row r="6">
      <c r="A6" s="33" t="inlineStr">
        <is>
          <t>sars_bgr7</t>
        </is>
      </c>
      <c r="B6" s="17" t="inlineStr">
        <is>
          <t>SARS Binding General Ruling 7 (Issue 4) and Interpretation Note 47 (Issue 5), 09/02/2021: wear-and-tear periods</t>
        </is>
      </c>
      <c r="C6" s="42" t="inlineStr">
        <is>
          <t>https://www.sars.gov.za/lapd-intr-r-bgr-2012-07-wear-and-tear-depreciation-allowance/</t>
        </is>
      </c>
    </row>
    <row r="7">
      <c r="A7" s="33" t="inlineStr">
        <is>
          <t>ita</t>
        </is>
      </c>
      <c r="B7" s="17" t="inlineStr">
        <is>
          <t>Income Tax Act 58 of 1962: s11(a), s11(e), s8(4)(a), s12C, s24J, s23A (Acts Online consolidation to TLAA 2026)</t>
        </is>
      </c>
      <c r="C7" s="42" t="inlineStr">
        <is>
          <t>https://www.acts.co.za</t>
        </is>
      </c>
    </row>
    <row r="8">
      <c r="A8" s="33" t="inlineStr">
        <is>
          <t>vat</t>
        </is>
      </c>
      <c r="B8" s="17" t="inlineStr">
        <is>
          <t>VAT Act 89 of 1991: s1 'instalment credit agreement', s9(3)(c), s10(6), s16(3) (Acts Online)</t>
        </is>
      </c>
      <c r="C8" s="42" t="inlineStr">
        <is>
          <t>https://www.acts.co.za</t>
        </is>
      </c>
    </row>
    <row r="9">
      <c r="A9" s="33" t="inlineStr">
        <is>
          <t>sars_rate</t>
        </is>
      </c>
      <c r="B9" s="17" t="inlineStr">
        <is>
          <t>SARS: company income tax rate 27%</t>
        </is>
      </c>
      <c r="C9" s="42" t="inlineStr">
        <is>
          <t>https://www.sars.gov.za/tax-rates/income-tax/companies-trusts-and-small-business-corporations-sbc/</t>
        </is>
      </c>
    </row>
    <row r="10">
      <c r="A10" s="33" t="inlineStr">
        <is>
          <t>sarb</t>
        </is>
      </c>
      <c r="B10" s="17" t="inlineStr">
        <is>
          <t>SARB MPC statement September 2026 (repo 7.25% from 25/09/2026); prime 10.75% (SARB current market rates, 19/10/2026)</t>
        </is>
      </c>
      <c r="C10" s="42" t="inlineStr">
        <is>
          <t>https://www.resbank.co.za</t>
        </is>
      </c>
    </row>
    <row r="11">
      <c r="A11" s="33" t="inlineStr">
        <is>
          <t>absa</t>
        </is>
      </c>
      <c r="B11" s="17" t="inlineStr">
        <is>
          <t>Absa business instalment sale: 24 to 72 months, initiation and monthly service fee</t>
        </is>
      </c>
      <c r="C11" s="42" t="inlineStr">
        <is>
          <t>https://www.absa.co.za</t>
        </is>
      </c>
    </row>
    <row r="12">
      <c r="A12" s="33" t="inlineStr">
        <is>
          <t>price</t>
        </is>
      </c>
      <c r="B12" s="17" t="inlineStr">
        <is>
          <t>Truck &amp; Trailer: SANY SY215C 2026 R1 850 000 + VAT; used Komatsu PC200 listings</t>
        </is>
      </c>
      <c r="C12" s="42" t="inlineStr">
        <is>
          <t>https://www.truckandtrailer.co.za</t>
        </is>
      </c>
    </row>
    <row r="13">
      <c r="A13" s="33" t="inlineStr">
        <is>
          <t>hire</t>
        </is>
      </c>
      <c r="B13" s="17" t="inlineStr">
        <is>
          <t>Excavator dry hire, 2025/26: Winton plant rates, MACP price list, Siyashesha plant rates</t>
        </is>
      </c>
      <c r="C13" s="42" t="inlineStr">
        <is>
          <t>https://excavator.co.za/rates.htm</t>
        </is>
      </c>
    </row>
    <row r="14">
      <c r="A14" s="33" t="inlineStr">
        <is>
          <t>setout_lib</t>
        </is>
      </c>
      <c r="B14" s="17" t="inlineStr">
        <is>
          <t>Setout rate library 09/2026: BIBC operator wage + 30% on-cost</t>
        </is>
      </c>
      <c r="C14" s="42" t="inlineStr">
        <is>
          <t>https://setout.co.za/downloads/setout-rate-library-2026-09.xlsx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Setout</dc:creator>
  <dcterms:created xmlns:dcterms="http://purl.org/dc/terms/" xmlns:xsi="http://www.w3.org/2001/XMLSchema-instance" xsi:type="dcterms:W3CDTF">2026-10-19T10:26:50Z</dcterms:created>
  <dcterms:modified xmlns:dcterms="http://purl.org/dc/terms/" xmlns:xsi="http://www.w3.org/2001/XMLSchema-instance" xsi:type="dcterms:W3CDTF">2026-10-19T10:26:50Z</dcterms:modified>
</cp:coreProperties>
</file>