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out" sheetId="1" state="visible" r:id="rId1"/>
    <sheet xmlns:r="http://schemas.openxmlformats.org/officeDocument/2006/relationships" name="How to use" sheetId="2" state="visible" r:id="rId2"/>
    <sheet xmlns:r="http://schemas.openxmlformats.org/officeDocument/2006/relationships" name="Project" sheetId="3" state="visible" r:id="rId3"/>
    <sheet xmlns:r="http://schemas.openxmlformats.org/officeDocument/2006/relationships" name="Measure" sheetId="4" state="visible" r:id="rId4"/>
    <sheet xmlns:r="http://schemas.openxmlformats.org/officeDocument/2006/relationships" name="Earthworks" sheetId="5" state="visible" r:id="rId5"/>
    <sheet xmlns:r="http://schemas.openxmlformats.org/officeDocument/2006/relationships" name="Build-ups" sheetId="6" state="visible" r:id="rId6"/>
    <sheet xmlns:r="http://schemas.openxmlformats.org/officeDocument/2006/relationships" name="Resources" sheetId="7" state="visible" r:id="rId7"/>
    <sheet xmlns:r="http://schemas.openxmlformats.org/officeDocument/2006/relationships" name="Standards" sheetId="8" state="visible" r:id="rId8"/>
    <sheet xmlns:r="http://schemas.openxmlformats.org/officeDocument/2006/relationships" name="Sources" sheetId="9" state="visible" r:id="rId9"/>
  </sheets>
  <definedNames>
    <definedName name="p_project">'Project'!$C$5</definedName>
    <definedName name="p_date">'Project'!$C$6</definedName>
    <definedName name="rd_len">'Project'!$C$8</definedName>
    <definedName name="rd_reserve">'Project'!$C$9</definedName>
    <definedName name="rd_surf">'Project'!$C$10</definedName>
    <definedName name="rd_box">'Project'!$C$11</definedName>
    <definedName name="rd_bed_len_in">'Project'!$C$12</definedName>
    <definedName name="rd_bed_len">'Project'!$C$13</definedName>
    <definedName name="t_lsel">'Project'!$C$15</definedName>
    <definedName name="t_usel">'Project'!$C$16</definedName>
    <definedName name="t_sub">'Project'!$C$17</definedName>
    <definedName name="t_base">'Project'!$C$18</definedName>
    <definedName name="t_bed">'Project'!$C$19</definedName>
    <definedName name="t_box">'Project'!$C$20</definedName>
    <definedName name="t_topsoil">'Project'!$C$21</definedName>
    <definedName name="x_int">'Project'!$C$23</definedName>
    <definedName name="x_hard">'Project'!$C$24</definedName>
    <definedName name="x_cut_fill">'Project'!$C$25</definedName>
    <definedName name="x_unsuit_len">'Project'!$C$26</definedName>
    <definedName name="x_unsuit_dep">'Project'!$C$27</definedName>
    <definedName name="x_oversize">'Project'!$C$28</definedName>
    <definedName name="x_topsoil_back">'Project'!$C$29</definedName>
    <definedName name="x_bulk">'Project'!$C$30</definedName>
    <definedName name="s_cement">'Project'!$C$32</definedName>
    <definedName name="s_mod">'Project'!$C$33</definedName>
    <definedName name="s_prime">'Project'!$C$34</definedName>
    <definedName name="s_tack">'Project'!$C$35</definedName>
    <definedName name="p_profit">'Project'!$C$37</definedName>
    <definedName name="p_diesel">'Project'!$C$38</definedName>
    <definedName name="p_day">'Project'!$C$39</definedName>
    <definedName name="p_haul_site">'Project'!$C$40</definedName>
    <definedName name="p_haul_spoil">'Project'!$C$41</definedName>
    <definedName name="p_quarry_km">'Project'!$C$42</definedName>
    <definedName name="p_water_km">'Project'!$C$43</definedName>
    <definedName name="p_water">'Project'!$C$44</definedName>
    <definedName name="p_tipfee">'Project'!$C$45</definedName>
    <definedName name="p_vat">'Project'!$C$46</definedName>
    <definedName name="rd_boxcut">'Measure'!$H$10</definedName>
    <definedName name="rd_lsel_vol">'Measure'!$H$19</definedName>
    <definedName name="rd_usel_vol">'Measure'!$H$20</definedName>
    <definedName name="bu_A1">'Build-ups'!$E$9</definedName>
    <definedName name="bq_A1">'Build-ups'!$F$9</definedName>
    <definedName name="bu_A2">'Build-ups'!$E$16</definedName>
    <definedName name="bq_A2">'Build-ups'!$F$16</definedName>
    <definedName name="bu_A3">'Build-ups'!$E$25</definedName>
    <definedName name="bq_A3">'Build-ups'!$F$25</definedName>
    <definedName name="bu_B2">'Build-ups'!$E$32</definedName>
    <definedName name="bq_B2">'Build-ups'!$F$32</definedName>
    <definedName name="bu_B3">'Build-ups'!$E$42</definedName>
    <definedName name="bq_B3">'Build-ups'!$F$42</definedName>
    <definedName name="bu_B4">'Build-ups'!$E$54</definedName>
    <definedName name="bq_B4">'Build-ups'!$F$54</definedName>
    <definedName name="bu_B5">'Build-ups'!$E$64</definedName>
    <definedName name="bq_B5">'Build-ups'!$F$64</definedName>
    <definedName name="bu_B6">'Build-ups'!$E$74</definedName>
    <definedName name="bq_B6">'Build-ups'!$F$74</definedName>
    <definedName name="bu_C1">'Build-ups'!$E$84</definedName>
    <definedName name="bq_C1">'Build-ups'!$F$84</definedName>
    <definedName name="bu_C2">'Build-ups'!$E$94</definedName>
    <definedName name="bq_C2">'Build-ups'!$F$94</definedName>
    <definedName name="bu_C3">'Build-ups'!$E$106</definedName>
    <definedName name="bq_C3">'Build-ups'!$F$106</definedName>
    <definedName name="bu_C4">'Build-ups'!$E$118</definedName>
    <definedName name="bq_C4">'Build-ups'!$F$118</definedName>
    <definedName name="bu_C5">'Build-ups'!$E$126</definedName>
    <definedName name="bq_C5">'Build-ups'!$F$126</definedName>
    <definedName name="bu_C6">'Build-ups'!$E$138</definedName>
    <definedName name="bq_C6">'Build-ups'!$F$138</definedName>
    <definedName name="bu_C7">'Build-ups'!$E$149</definedName>
    <definedName name="bq_C7">'Build-ups'!$F$149</definedName>
    <definedName name="bu_C8">'Build-ups'!$E$156</definedName>
    <definedName name="bq_C8">'Build-ups'!$F$156</definedName>
    <definedName name="bu_C9">'Build-ups'!$E$169</definedName>
    <definedName name="bq_C9">'Build-ups'!$F$169</definedName>
    <definedName name="bu_D1">'Build-ups'!$E$177</definedName>
    <definedName name="bq_D1">'Build-ups'!$F$177</definedName>
    <definedName name="bu_D2">'Build-ups'!$E$185</definedName>
    <definedName name="bq_D2">'Build-ups'!$F$185</definedName>
    <definedName name="bu_D3">'Build-ups'!$E$192</definedName>
    <definedName name="bq_D3">'Build-ups'!$F$192</definedName>
    <definedName name="bu_E1">'Build-ups'!$E$201</definedName>
    <definedName name="bq_E1">'Build-ups'!$F$201</definedName>
    <definedName name="bu_E2">'Build-ups'!$E$210</definedName>
    <definedName name="bq_E2">'Build-ups'!$F$210</definedName>
    <definedName name="bu_E3">'Build-ups'!$E$219</definedName>
    <definedName name="bq_E3">'Build-ups'!$F$219</definedName>
    <definedName name="bu_E4">'Build-ups'!$E$228</definedName>
    <definedName name="bq_E4">'Build-ups'!$F$228</definedName>
    <definedName name="bu_F1">'Build-ups'!$E$236</definedName>
    <definedName name="bq_F1">'Build-ups'!$F$236</definedName>
    <definedName name="bu_F2">'Build-ups'!$E$246</definedName>
    <definedName name="bq_F2">'Build-ups'!$F$246</definedName>
    <definedName name="bu_F3">'Build-ups'!$E$256</definedName>
    <definedName name="bq_F3">'Build-ups'!$F$256</definedName>
    <definedName name="bu_F4">'Build-ups'!$E$266</definedName>
    <definedName name="bq_F4">'Build-ups'!$F$266</definedName>
    <definedName name="pl_grader">'Resources'!$H$7</definedName>
    <definedName name="pl_roller">'Resources'!$H$8</definedName>
    <definedName name="pl_pneu">'Resources'!$H$9</definedName>
    <definedName name="pl_watercart">'Resources'!$H$10</definedName>
    <definedName name="pl_excavator">'Resources'!$H$11</definedName>
    <definedName name="pl_dozer">'Resources'!$H$12</definedName>
    <definedName name="pl_tipper">'Resources'!$H$13</definedName>
    <definedName name="pl_mixer">'Resources'!$H$14</definedName>
    <definedName name="pl_jack">'Resources'!$H$15</definedName>
    <definedName name="pl_distributor">'Resources'!$H$16</definedName>
    <definedName name="lb_labourer">'Resources'!$E$20</definedName>
    <definedName name="lb_artisan">'Resources'!$E$21</definedName>
    <definedName name="lb_survtech">'Resources'!$E$22</definedName>
    <definedName name="mt_g5">'Resources'!$E$26</definedName>
    <definedName name="mt_g2">'Resources'!$E$27</definedName>
    <definedName name="mt_rock">'Resources'!$E$28</definedName>
    <definedName name="mt_cement">'Resources'!$E$29</definedName>
    <definedName name="mt_mc30">'Resources'!$E$30</definedName>
    <definedName name="mt_ss60">'Resources'!$E$31</definedName>
    <definedName name="mt_paint">'Resources'!$E$32</definedName>
    <definedName name="mt_stop">'Resources'!$E$33</definedName>
    <definedName name="mt_yield">'Resources'!$E$34</definedName>
    <definedName name="mt_concrete">'Resources'!$E$35</definedName>
    <definedName name="mt_pole">'Resources'!$E$36</definedName>
    <definedName name="mt_streetname">'Resources'!$E$37</definedName>
    <definedName name="mt_asphalt">'Resources'!$E$38</definedName>
    <definedName name="o_clear">'Resources'!$D$42</definedName>
    <definedName name="o_strip">'Resources'!$D$43</definedName>
    <definedName name="o_exc">'Resources'!$D$44</definedName>
    <definedName name="o_rip">'Resources'!$D$45</definedName>
    <definedName name="o_rock">'Resources'!$D$46</definedName>
    <definedName name="o_gfill">'Resources'!$D$47</definedName>
    <definedName name="o_ggsb">'Resources'!$D$48</definedName>
    <definedName name="o_rfill">'Resources'!$D$49</definedName>
    <definedName name="o_rgsb">'Resources'!$D$50</definedName>
    <definedName name="o_water">'Resources'!$D$51</definedName>
    <definedName name="o_wcart">'Resources'!$D$52</definedName>
    <definedName name="o_mix">'Resources'!$D$53</definedName>
    <definedName name="o_trim">'Resources'!$D$54</definedName>
    <definedName name="o_spray">'Resources'!$D$55</definedName>
    <definedName name="o_paint">'Resources'!$D$56</definedName>
    <definedName name="o_painter">'Resources'!$D$57</definedName>
    <definedName name="o_paintlab">'Resources'!$D$58</definedName>
    <definedName name="o_signlab">'Resources'!$D$59</definedName>
    <definedName name="o_signconc">'Resources'!$D$60</definedName>
    <definedName name="o_setout">'Resources'!$D$61</definedName>
    <definedName name="o_tipcap">'Resources'!$D$62</definedName>
    <definedName name="o_vsl">'Resources'!$D$63</definedName>
    <definedName name="o_vse">'Resources'!$D$64</definedName>
    <definedName name="o_vrl">'Resources'!$D$65</definedName>
    <definedName name="o_vre">'Resources'!$D$66</definedName>
    <definedName name="o_fixed">'Resources'!$D$67</definedName>
    <definedName name="o_loose">'Resources'!$D$68</definedName>
    <definedName name="o_insitu">'Resources'!$D$69</definedName>
    <definedName name="o_rockden">'Resources'!$D$70</definedName>
    <definedName name="o_rockloose">'Resources'!$D$71</definedName>
    <definedName name="h_load">'Resources'!$D$75</definedName>
    <definedName name="h_site">'Resources'!$D$76</definedName>
    <definedName name="h_spoil">'Resources'!$D$77</definedName>
    <definedName name="h_quarry">'Resources'!$D$78</definedName>
    <definedName name="q_layer">'Resources'!$D$79</definedName>
    <definedName name="q_rock">'Resources'!$D$80</definedName>
    <definedName name="_xlnm.Print_Titles" localSheetId="1">'How to use'!$1:$1</definedName>
    <definedName name="_xlnm.Print_Titles" localSheetId="2">'Project'!$1:$1</definedName>
    <definedName name="_xlnm.Print_Titles" localSheetId="3">'Measure'!$1:$1</definedName>
    <definedName name="_xlnm.Print_Titles" localSheetId="4">'Earthworks'!$1:$1</definedName>
    <definedName name="_xlnm.Print_Titles" localSheetId="5">'Build-ups'!$1:$1</definedName>
    <definedName name="_xlnm.Print_Titles" localSheetId="6">'Resources'!$1:$1</definedName>
    <definedName name="_xlnm.Print_Titles" localSheetId="7">'Standards'!$1:$1</definedName>
    <definedName name="_xlnm.Print_Titles" localSheetId="8">'Sources'!$1:$1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dd/mm/yyyy"/>
    <numFmt numFmtId="165" formatCode="#,##0.00;[RED]\-#,##0.00;\-"/>
    <numFmt numFmtId="166" formatCode="0.000"/>
    <numFmt numFmtId="167" formatCode="0.0%;[RED]\-0.0%;\-"/>
    <numFmt numFmtId="168" formatCode="#,##0;[RED]\-#,##0;\-"/>
    <numFmt numFmtId="169" formatCode="&quot;R &quot;#,##0.00;[RED]&quot;-R &quot;#,##0.00;\-"/>
    <numFmt numFmtId="170" formatCode="#,##0.000;[RED]\-#,##0.000;\-"/>
    <numFmt numFmtId="171" formatCode="#,##0.0000"/>
    <numFmt numFmtId="172" formatCode="#,##0.000"/>
  </numFmts>
  <fonts count="22">
    <font>
      <name val="Calibri"/>
      <family val="2"/>
      <color theme="1"/>
      <sz val="11"/>
      <scheme val="minor"/>
    </font>
    <font>
      <name val="Arial"/>
      <b val="1"/>
      <color rgb="FFB4F24E"/>
      <sz val="8"/>
    </font>
    <font>
      <name val="Georgia"/>
      <b val="1"/>
      <color rgb="FFFFFFFF"/>
      <sz val="22"/>
    </font>
    <font>
      <name val="Arial"/>
      <color rgb="FFA7ACA9"/>
      <sz val="10"/>
    </font>
    <font>
      <name val="Arial"/>
      <b val="1"/>
      <color rgb="FFFFFFFF"/>
      <sz val="10"/>
    </font>
    <font>
      <name val="Arial"/>
      <color rgb="FFA7ACA9"/>
      <sz val="9"/>
    </font>
    <font>
      <name val="Arial"/>
      <color rgb="FFE6E9E7"/>
      <sz val="10"/>
    </font>
    <font>
      <name val="Arial"/>
      <color rgb="FFB4F24E"/>
      <sz val="10"/>
      <u val="single"/>
    </font>
    <font>
      <name val="Arial"/>
      <b val="1"/>
      <color rgb="FFB4F24E"/>
      <sz val="10"/>
    </font>
    <font>
      <name val="Arial"/>
      <color rgb="FFA7ACA9"/>
      <sz val="8"/>
    </font>
    <font>
      <name val="Georgia"/>
      <b val="1"/>
      <color rgb="FFFFFFFF"/>
      <sz val="15"/>
    </font>
    <font>
      <name val="Arial"/>
      <color rgb="FF545957"/>
      <sz val="9"/>
    </font>
    <font>
      <name val="Arial"/>
      <b val="1"/>
      <sz val="10"/>
    </font>
    <font>
      <name val="Arial"/>
      <sz val="10"/>
    </font>
    <font>
      <name val="Arial"/>
      <b val="1"/>
      <color rgb="FFC00000"/>
      <sz val="10"/>
    </font>
    <font>
      <name val="Arial"/>
      <b val="1"/>
      <sz val="9"/>
    </font>
    <font>
      <name val="Arial"/>
      <b val="1"/>
      <color rgb="FF53760E"/>
      <sz val="9"/>
    </font>
    <font>
      <name val="Arial"/>
      <b val="1"/>
      <color rgb="FFAD4216"/>
      <sz val="9"/>
    </font>
    <font>
      <name val="Arial"/>
      <b val="1"/>
      <color rgb="FFC00000"/>
      <sz val="9"/>
    </font>
    <font>
      <name val="Arial"/>
      <b val="1"/>
      <color rgb="FF53760E"/>
      <sz val="10"/>
    </font>
    <font>
      <name val="Arial"/>
      <b val="1"/>
      <color rgb="FFAD4216"/>
      <sz val="10"/>
    </font>
    <font>
      <name val="Arial"/>
      <color rgb="FF0563C1"/>
      <sz val="9"/>
    </font>
  </fonts>
  <fills count="10">
    <fill>
      <patternFill/>
    </fill>
    <fill>
      <patternFill patternType="gray125"/>
    </fill>
    <fill>
      <patternFill patternType="solid">
        <fgColor rgb="FF0F1212"/>
      </patternFill>
    </fill>
    <fill>
      <patternFill patternType="solid">
        <fgColor rgb="FF171C1B"/>
      </patternFill>
    </fill>
    <fill>
      <patternFill patternType="solid">
        <fgColor rgb="FFE3E5E3"/>
      </patternFill>
    </fill>
    <fill>
      <patternFill patternType="solid">
        <fgColor rgb="FFE8F9D5"/>
      </patternFill>
    </fill>
    <fill>
      <patternFill patternType="solid">
        <fgColor rgb="FFF7F9F7"/>
      </patternFill>
    </fill>
    <fill>
      <patternFill patternType="solid">
        <fgColor rgb="FFD8F3BA"/>
      </patternFill>
    </fill>
    <fill>
      <patternFill patternType="solid">
        <fgColor rgb="FFFFFFFF"/>
      </patternFill>
    </fill>
    <fill>
      <patternFill patternType="solid">
        <fgColor rgb="FFFEEADB"/>
      </patternFill>
    </fill>
  </fills>
  <borders count="4">
    <border>
      <left/>
      <right/>
      <top/>
      <bottom/>
      <diagonal/>
    </border>
    <border>
      <bottom style="medium">
        <color rgb="FFB4F24E"/>
      </bottom>
    </border>
    <border>
      <left style="thin">
        <color rgb="FFD0D4D1"/>
      </left>
      <right style="thin">
        <color rgb="FFD0D4D1"/>
      </right>
      <top style="thin">
        <color rgb="FFD0D4D1"/>
      </top>
      <bottom style="thin">
        <color rgb="FFD0D4D1"/>
      </bottom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2" borderId="0" applyAlignment="1" pivotButton="0" quotePrefix="0" xfId="0">
      <alignment vertical="top" wrapText="1"/>
    </xf>
    <xf numFmtId="0" fontId="0" fillId="2" borderId="1" pivotButton="0" quotePrefix="0" xfId="0"/>
    <xf numFmtId="0" fontId="4" fillId="2" borderId="0" pivotButton="0" quotePrefix="0" xfId="0"/>
    <xf numFmtId="0" fontId="5" fillId="2" borderId="0" pivotButton="0" quotePrefix="0" xfId="0"/>
    <xf numFmtId="0" fontId="0" fillId="3" borderId="0" pivotButton="0" quotePrefix="0" xfId="0"/>
    <xf numFmtId="0" fontId="1" fillId="3" borderId="0" pivotButton="0" quotePrefix="0" xfId="0"/>
    <xf numFmtId="0" fontId="6" fillId="3" borderId="0" pivotButton="0" quotePrefix="0" xfId="0"/>
    <xf numFmtId="0" fontId="7" fillId="3" borderId="0" pivotButton="0" quotePrefix="0" xfId="0"/>
    <xf numFmtId="0" fontId="8" fillId="2" borderId="0" pivotButton="0" quotePrefix="0" xfId="0"/>
    <xf numFmtId="0" fontId="9" fillId="2" borderId="0" applyAlignment="1" pivotButton="0" quotePrefix="0" xfId="0">
      <alignment vertical="top" wrapText="1"/>
    </xf>
    <xf numFmtId="0" fontId="10" fillId="2" borderId="0" applyAlignment="1" pivotButton="0" quotePrefix="0" xfId="0">
      <alignment vertical="center"/>
    </xf>
    <xf numFmtId="0" fontId="11" fillId="0" borderId="0" applyAlignment="1" pivotButton="0" quotePrefix="0" xfId="0">
      <alignment/>
    </xf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  <xf numFmtId="0" fontId="8" fillId="2" borderId="0" applyAlignment="1" pivotButton="0" quotePrefix="0" xfId="0">
      <alignment vertical="center" wrapText="1"/>
    </xf>
    <xf numFmtId="0" fontId="12" fillId="4" borderId="0" pivotButton="0" quotePrefix="0" xfId="0"/>
    <xf numFmtId="0" fontId="0" fillId="4" borderId="0" pivotButton="0" quotePrefix="0" xfId="0"/>
    <xf numFmtId="0" fontId="13" fillId="0" borderId="0" pivotButton="0" quotePrefix="0" xfId="0"/>
    <xf numFmtId="0" fontId="13" fillId="5" borderId="2" pivotButton="0" quotePrefix="0" xfId="0"/>
    <xf numFmtId="0" fontId="11" fillId="0" borderId="0" applyAlignment="1" pivotButton="0" quotePrefix="0" xfId="0">
      <alignment vertical="top" wrapText="1"/>
    </xf>
    <xf numFmtId="164" fontId="13" fillId="5" borderId="2" pivotButton="0" quotePrefix="0" xfId="0"/>
    <xf numFmtId="165" fontId="13" fillId="5" borderId="2" pivotButton="0" quotePrefix="0" xfId="0"/>
    <xf numFmtId="165" fontId="13" fillId="6" borderId="2" pivotButton="0" quotePrefix="0" xfId="0"/>
    <xf numFmtId="166" fontId="13" fillId="5" borderId="2" pivotButton="0" quotePrefix="0" xfId="0"/>
    <xf numFmtId="166" fontId="13" fillId="6" borderId="2" pivotButton="0" quotePrefix="0" xfId="0"/>
    <xf numFmtId="167" fontId="13" fillId="5" borderId="2" pivotButton="0" quotePrefix="0" xfId="0"/>
    <xf numFmtId="168" fontId="13" fillId="5" borderId="2" pivotButton="0" quotePrefix="0" xfId="0"/>
    <xf numFmtId="169" fontId="12" fillId="4" borderId="0" pivotButton="0" quotePrefix="0" xfId="0"/>
    <xf numFmtId="170" fontId="13" fillId="5" borderId="2" pivotButton="0" quotePrefix="0" xfId="0"/>
    <xf numFmtId="169" fontId="13" fillId="6" borderId="2" pivotButton="0" quotePrefix="0" xfId="0"/>
    <xf numFmtId="169" fontId="13" fillId="5" borderId="2" pivotButton="0" quotePrefix="0" xfId="0"/>
    <xf numFmtId="0" fontId="11" fillId="0" borderId="0" pivotButton="0" quotePrefix="0" xfId="0"/>
    <xf numFmtId="170" fontId="13" fillId="6" borderId="2" pivotButton="0" quotePrefix="0" xfId="0"/>
    <xf numFmtId="0" fontId="13" fillId="0" borderId="0" applyAlignment="1" pivotButton="0" quotePrefix="0" xfId="0">
      <alignment horizontal="center" vertical="top"/>
    </xf>
    <xf numFmtId="0" fontId="12" fillId="0" borderId="0" pivotButton="0" quotePrefix="0" xfId="0"/>
    <xf numFmtId="169" fontId="12" fillId="7" borderId="2" pivotButton="0" quotePrefix="0" xfId="0"/>
    <xf numFmtId="0" fontId="14" fillId="0" borderId="0" pivotButton="0" quotePrefix="0" xfId="0"/>
    <xf numFmtId="165" fontId="12" fillId="7" borderId="2" pivotButton="0" quotePrefix="0" xfId="0"/>
    <xf numFmtId="171" fontId="13" fillId="6" borderId="2" pivotButton="0" quotePrefix="0" xfId="0"/>
    <xf numFmtId="171" fontId="13" fillId="5" borderId="2" pivotButton="0" quotePrefix="0" xfId="0"/>
    <xf numFmtId="0" fontId="15" fillId="0" borderId="0" pivotButton="0" quotePrefix="0" xfId="0"/>
    <xf numFmtId="165" fontId="13" fillId="0" borderId="0" pivotButton="0" quotePrefix="0" xfId="0"/>
    <xf numFmtId="0" fontId="16" fillId="8" borderId="0" applyAlignment="1" pivotButton="0" quotePrefix="0" xfId="0">
      <alignment vertical="top" wrapText="1"/>
    </xf>
    <xf numFmtId="0" fontId="17" fillId="9" borderId="0" applyAlignment="1" pivotButton="0" quotePrefix="0" xfId="0">
      <alignment vertical="top" wrapText="1"/>
    </xf>
    <xf numFmtId="165" fontId="13" fillId="9" borderId="3" pivotButton="0" quotePrefix="0" xfId="0"/>
    <xf numFmtId="0" fontId="18" fillId="9" borderId="0" applyAlignment="1" pivotButton="0" quotePrefix="0" xfId="0">
      <alignment vertical="top" wrapText="1"/>
    </xf>
    <xf numFmtId="172" fontId="13" fillId="5" borderId="2" pivotButton="0" quotePrefix="0" xfId="0"/>
    <xf numFmtId="0" fontId="19" fillId="8" borderId="0" applyAlignment="1" pivotButton="0" quotePrefix="0" xfId="0">
      <alignment vertical="top" wrapText="1"/>
    </xf>
    <xf numFmtId="0" fontId="20" fillId="9" borderId="0" applyAlignment="1" pivotButton="0" quotePrefix="0" xfId="0">
      <alignment vertical="top" wrapText="1"/>
    </xf>
    <xf numFmtId="0" fontId="2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4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</row>
    <row r="3">
      <c r="A3" s="1" t="n"/>
      <c r="B3" s="2" t="inlineStr">
        <is>
          <t>SETOUT  .  THE SOUTH AFRICAN CONSTRUCTION TOOLKIT</t>
        </is>
      </c>
      <c r="C3" s="1" t="n"/>
      <c r="D3" s="1" t="n"/>
      <c r="E3" s="1" t="n"/>
      <c r="F3" s="1" t="n"/>
      <c r="G3" s="1" t="n"/>
      <c r="H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</row>
    <row r="5">
      <c r="A5" s="1" t="n"/>
      <c r="B5" s="3" t="inlineStr">
        <is>
          <t>Setout road and earthworks measure</t>
        </is>
      </c>
      <c r="C5" s="1" t="n"/>
      <c r="D5" s="1" t="n"/>
      <c r="E5" s="1" t="n"/>
      <c r="F5" s="1" t="n"/>
      <c r="G5" s="1" t="n"/>
      <c r="H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</row>
    <row r="9">
      <c r="A9" s="1" t="n"/>
      <c r="B9" s="4" t="inlineStr">
        <is>
          <t>Measures a new road from a handful of dimensions: site clearance, box cut and excavation classes, the cut and fill balance with bulking, every pavement layer, stabilising cement, prime, tack, asphalt, road markings and signs.</t>
        </is>
      </c>
      <c r="H9" s="1" t="n"/>
    </row>
    <row r="10">
      <c r="A10" s="1" t="n"/>
      <c r="H10" s="1" t="n"/>
    </row>
    <row r="11">
      <c r="A11" s="1" t="n"/>
      <c r="H11" s="1" t="n"/>
    </row>
    <row r="12">
      <c r="A12" s="1" t="n"/>
      <c r="B12" s="1" t="n"/>
      <c r="C12" s="1" t="n"/>
      <c r="D12" s="1" t="n"/>
      <c r="E12" s="1" t="n"/>
      <c r="F12" s="1" t="n"/>
      <c r="G12" s="1" t="n"/>
      <c r="H12" s="1" t="n"/>
    </row>
    <row r="13">
      <c r="A13" s="1" t="n"/>
      <c r="B13" s="5" t="n"/>
      <c r="C13" s="5" t="n"/>
      <c r="D13" s="5" t="n"/>
      <c r="E13" s="5" t="n"/>
      <c r="F13" s="5" t="n"/>
      <c r="G13" s="5" t="n"/>
      <c r="H13" s="1" t="n"/>
    </row>
    <row r="14">
      <c r="A14" s="1" t="n"/>
      <c r="B14" s="1" t="n"/>
      <c r="C14" s="1" t="n"/>
      <c r="D14" s="1" t="n"/>
      <c r="E14" s="1" t="n"/>
      <c r="F14" s="1" t="n"/>
      <c r="G14" s="1" t="n"/>
      <c r="H14" s="1" t="n"/>
    </row>
    <row r="15">
      <c r="A15" s="1" t="n"/>
      <c r="B15" s="2" t="inlineStr">
        <is>
          <t>WHAT'S IN THIS WORKBOOK</t>
        </is>
      </c>
      <c r="C15" s="1" t="n"/>
      <c r="D15" s="1" t="n"/>
      <c r="E15" s="1" t="n"/>
      <c r="F15" s="1" t="n"/>
      <c r="G15" s="1" t="n"/>
      <c r="H15" s="1" t="n"/>
    </row>
    <row r="16">
      <c r="A16" s="1" t="n"/>
      <c r="B16" s="6" t="inlineStr">
        <is>
          <t>How to use</t>
        </is>
      </c>
      <c r="C16" s="7" t="inlineStr">
        <is>
          <t>Step by step, and why each step is there.</t>
        </is>
      </c>
      <c r="D16" s="1" t="n"/>
      <c r="E16" s="1" t="n"/>
      <c r="F16" s="1" t="n"/>
      <c r="G16" s="1" t="n"/>
      <c r="H16" s="1" t="n"/>
    </row>
    <row r="17">
      <c r="A17" s="1" t="n"/>
      <c r="B17" s="6" t="inlineStr">
        <is>
          <t>Project</t>
        </is>
      </c>
      <c r="C17" s="7" t="inlineStr">
        <is>
          <t>Road dimensions, layer thicknesses and the assumptions.</t>
        </is>
      </c>
      <c r="D17" s="1" t="n"/>
      <c r="E17" s="1" t="n"/>
      <c r="F17" s="1" t="n"/>
      <c r="G17" s="1" t="n"/>
      <c r="H17" s="1" t="n"/>
    </row>
    <row r="18">
      <c r="A18" s="1" t="n"/>
      <c r="B18" s="6" t="inlineStr">
        <is>
          <t>Measure</t>
        </is>
      </c>
      <c r="C18" s="7" t="inlineStr">
        <is>
          <t>Every item, its quantity, its built-up rate and the amount.</t>
        </is>
      </c>
      <c r="D18" s="1" t="n"/>
      <c r="E18" s="1" t="n"/>
      <c r="F18" s="1" t="n"/>
      <c r="G18" s="1" t="n"/>
      <c r="H18" s="1" t="n"/>
    </row>
    <row r="19">
      <c r="A19" s="1" t="n"/>
      <c r="B19" s="6" t="inlineStr">
        <is>
          <t>Earthworks</t>
        </is>
      </c>
      <c r="C19" s="7" t="inlineStr">
        <is>
          <t>Cut, reuse, spoil and the haul volume after bulking.</t>
        </is>
      </c>
      <c r="D19" s="1" t="n"/>
      <c r="E19" s="1" t="n"/>
      <c r="F19" s="1" t="n"/>
      <c r="G19" s="1" t="n"/>
      <c r="H19" s="1" t="n"/>
    </row>
    <row r="20">
      <c r="A20" s="1" t="n"/>
      <c r="B20" s="6" t="inlineStr">
        <is>
          <t>Build-ups</t>
        </is>
      </c>
      <c r="C20" s="7" t="inlineStr">
        <is>
          <t>Each rate from plant hours, fuel, labour, material and profit.</t>
        </is>
      </c>
      <c r="D20" s="1" t="n"/>
      <c r="E20" s="1" t="n"/>
      <c r="F20" s="1" t="n"/>
      <c r="G20" s="1" t="n"/>
      <c r="H20" s="1" t="n"/>
    </row>
    <row r="21">
      <c r="A21" s="1" t="n"/>
      <c r="B21" s="6" t="inlineStr">
        <is>
          <t>Resources</t>
        </is>
      </c>
      <c r="C21" s="7" t="inlineStr">
        <is>
          <t>Every hire rate, wage, price and output, with source and date.</t>
        </is>
      </c>
      <c r="D21" s="1" t="n"/>
      <c r="E21" s="1" t="n"/>
      <c r="F21" s="1" t="n"/>
      <c r="G21" s="1" t="n"/>
      <c r="H21" s="1" t="n"/>
    </row>
    <row r="22">
      <c r="A22" s="1" t="n"/>
      <c r="B22" s="6" t="inlineStr">
        <is>
          <t>Standards</t>
        </is>
      </c>
      <c r="C22" s="7" t="inlineStr">
        <is>
          <t>COTO, COLTO and SANS 1200 references and their status.</t>
        </is>
      </c>
      <c r="D22" s="1" t="n"/>
      <c r="E22" s="1" t="n"/>
      <c r="F22" s="1" t="n"/>
      <c r="G22" s="1" t="n"/>
      <c r="H22" s="1" t="n"/>
    </row>
    <row r="23">
      <c r="A23" s="1" t="n"/>
      <c r="B23" s="6" t="inlineStr">
        <is>
          <t>Sources</t>
        </is>
      </c>
      <c r="C23" s="7" t="inlineStr">
        <is>
          <t>Where the rules came from.</t>
        </is>
      </c>
      <c r="D23" s="1" t="n"/>
      <c r="E23" s="1" t="n"/>
      <c r="F23" s="1" t="n"/>
      <c r="G23" s="1" t="n"/>
      <c r="H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</row>
    <row r="30">
      <c r="A30" s="1" t="n"/>
      <c r="B30" s="8" t="n"/>
      <c r="C30" s="8" t="n"/>
      <c r="D30" s="8" t="n"/>
      <c r="E30" s="8" t="n"/>
      <c r="F30" s="8" t="n"/>
      <c r="G30" s="8" t="n"/>
      <c r="H30" s="1" t="n"/>
    </row>
    <row r="31">
      <c r="A31" s="1" t="n"/>
      <c r="B31" s="9" t="inlineStr">
        <is>
          <t>MORE FROM SETOUT - FREE AT SETOUT.CO.ZA</t>
        </is>
      </c>
      <c r="C31" s="8" t="n"/>
      <c r="D31" s="8" t="n"/>
      <c r="E31" s="8" t="n"/>
      <c r="F31" s="8" t="n"/>
      <c r="G31" s="8" t="n"/>
      <c r="H31" s="1" t="n"/>
    </row>
    <row r="32">
      <c r="A32" s="1" t="n"/>
      <c r="B32" s="10" t="inlineStr">
        <is>
          <t>Measurement calculator pack - steel, roads, rebar, bolts</t>
        </is>
      </c>
      <c r="C32" s="8" t="n"/>
      <c r="D32" s="8" t="n"/>
      <c r="E32" s="8" t="n"/>
      <c r="F32" s="11">
        <f>HYPERLINK("https://setout.co.za/tools/measure","setout.co.za/tools/measure")</f>
        <v/>
      </c>
      <c r="G32" s="8" t="n"/>
      <c r="H32" s="1" t="n"/>
    </row>
    <row r="33">
      <c r="A33" s="1" t="n"/>
      <c r="B33" s="10" t="inlineStr">
        <is>
          <t>P&amp;G calculator pack - preliminaries and general</t>
        </is>
      </c>
      <c r="C33" s="8" t="n"/>
      <c r="D33" s="8" t="n"/>
      <c r="E33" s="8" t="n"/>
      <c r="F33" s="11">
        <f>HYPERLINK("https://setout.co.za/tools/pg","setout.co.za/tools/pg")</f>
        <v/>
      </c>
      <c r="G33" s="8" t="n"/>
      <c r="H33" s="1" t="n"/>
    </row>
    <row r="34">
      <c r="A34" s="1" t="n"/>
      <c r="B34" s="10" t="inlineStr">
        <is>
          <t>BoQ Pricer - price a bill against benchmark rates</t>
        </is>
      </c>
      <c r="C34" s="8" t="n"/>
      <c r="D34" s="8" t="n"/>
      <c r="E34" s="8" t="n"/>
      <c r="F34" s="11">
        <f>HYPERLINK("https://setout.co.za/tools/boq-pricer","setout.co.za/tools/boq-pricer")</f>
        <v/>
      </c>
      <c r="G34" s="8" t="n"/>
      <c r="H34" s="1" t="n"/>
    </row>
    <row r="35">
      <c r="A35" s="1" t="n"/>
      <c r="B35" s="10" t="inlineStr">
        <is>
          <t>Free construction calculators</t>
        </is>
      </c>
      <c r="C35" s="8" t="n"/>
      <c r="D35" s="8" t="n"/>
      <c r="E35" s="8" t="n"/>
      <c r="F35" s="11">
        <f>HYPERLINK("https://setout.co.za/calculators","setout.co.za/calculators")</f>
        <v/>
      </c>
      <c r="G35" s="8" t="n"/>
      <c r="H35" s="1" t="n"/>
    </row>
    <row r="36">
      <c r="A36" s="1" t="n"/>
      <c r="B36" s="10" t="inlineStr">
        <is>
          <t>The Rate Sheet - one email a month on what moved</t>
        </is>
      </c>
      <c r="C36" s="8" t="n"/>
      <c r="D36" s="8" t="n"/>
      <c r="E36" s="8" t="n"/>
      <c r="F36" s="11">
        <f>HYPERLINK("https://setout.co.za/newsletter","setout.co.za/newsletter")</f>
        <v/>
      </c>
      <c r="G36" s="8" t="n"/>
      <c r="H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2" t="inlineStr">
        <is>
          <t>Want a second pair of eyes on your road measure before you tender?  hello@setout.co.za</t>
        </is>
      </c>
      <c r="C39" s="1" t="n"/>
      <c r="D39" s="1" t="n"/>
      <c r="E39" s="1" t="n"/>
      <c r="F39" s="1" t="n"/>
      <c r="G39" s="1" t="n"/>
      <c r="H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</row>
    <row r="41">
      <c r="A41" s="1" t="n"/>
      <c r="B41" s="13" t="inlineStr">
        <is>
          <t>Planning-stage quantities and estimates, not a final account or a quote. Measure to the standard your contract names and check every quantity against the drawings. General guidance - not professional, engineering or legal advice. Version 1 - 19/10/2026.</t>
        </is>
      </c>
      <c r="H41" s="1" t="n"/>
    </row>
    <row r="42">
      <c r="A42" s="1" t="n"/>
      <c r="H42" s="1" t="n"/>
    </row>
    <row r="43">
      <c r="A43" s="1" t="n"/>
      <c r="H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</sheetData>
  <mergeCells count="2">
    <mergeCell ref="B9:G11"/>
    <mergeCell ref="B41:G43"/>
  </mergeCells>
  <pageMargins left="0.75" right="0.75" top="1" bottom="1" header="0.5" footer="0.5"/>
  <pageSetup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5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 ht="30" customHeight="1">
      <c r="A1" s="14" t="inlineStr">
        <is>
          <t>Setout road and earthworks measure</t>
        </is>
      </c>
      <c r="B1" s="1" t="n"/>
    </row>
    <row r="2">
      <c r="A2" s="15" t="inlineStr">
        <is>
          <t>Setout | setout.co.za/tools/measure | v1 19/10/2026</t>
        </is>
      </c>
    </row>
    <row r="4">
      <c r="A4" s="12" t="inlineStr">
        <is>
          <t>What it does</t>
        </is>
      </c>
      <c r="B4" s="1" t="n"/>
    </row>
    <row r="5">
      <c r="A5" s="16" t="inlineStr">
        <is>
          <t>What it does</t>
        </is>
      </c>
      <c r="B5" s="17" t="inlineStr">
        <is>
          <t>Turns road length, widths and layer thicknesses into a priced measure of a typical new road: clearance, earthworks, layerworks, surfacing, markings and signs, with the earthworks balance worked out for you.</t>
        </is>
      </c>
    </row>
    <row r="6">
      <c r="A6" s="16" t="inlineStr">
        <is>
          <t>Who it is for</t>
        </is>
      </c>
      <c r="B6" s="17" t="inlineStr">
        <is>
          <t>Estimators and QSs pricing municipal or township roads, and contractors checking a bill before they tender.</t>
        </is>
      </c>
    </row>
    <row r="8">
      <c r="A8" s="12" t="inlineStr">
        <is>
          <t>Step by step</t>
        </is>
      </c>
      <c r="B8" s="1" t="n"/>
    </row>
    <row r="9">
      <c r="A9" s="16" t="inlineStr">
        <is>
          <t>1. Road dimensions</t>
        </is>
      </c>
      <c r="B9" s="17" t="inlineStr">
        <is>
          <t>Enter the road length, road reserve width, surfaced width and box-cut width on Project. Why: almost every quantity is length x width x depth, so four dimensions drive the whole measure.</t>
        </is>
      </c>
    </row>
    <row r="10">
      <c r="A10" s="16" t="inlineStr">
        <is>
          <t>2. Layer thicknesses</t>
        </is>
      </c>
      <c r="B10" s="17" t="inlineStr">
        <is>
          <t>Enter the thickness of each pavement layer from the pavement design. Why: the box cut is the sum of the layers, so the excavation, the layer volumes and the spoil all follow from these numbers.</t>
        </is>
      </c>
    </row>
    <row r="11">
      <c r="A11" s="16" t="inlineStr">
        <is>
          <t>3. Excavation classes</t>
        </is>
      </c>
      <c r="B11" s="17" t="inlineStr">
        <is>
          <t>Enter the share of the box cut in intermediate and hard rock from the geotechnical report. Why: hard material is paid at a much higher rate than soft, so the split moves the price more than the volume does.</t>
        </is>
      </c>
    </row>
    <row r="12">
      <c r="A12" s="16" t="inlineStr">
        <is>
          <t>4. Bulking factor</t>
        </is>
      </c>
      <c r="B12" s="17" t="inlineStr">
        <is>
          <t>Enter the bulking factor for the material you will haul (1.25 to 1.35 is common for soil; rock is higher). Why: excavation is measured in place, but trucks carry loose material, so your haul costing needs the bulked volume. It is not a pay quantity: SANS 1200 ME pays overhaul beyond the 2 km free haul on the designed volume, no bulking (cl 8.1(c), 8.3.9).</t>
        </is>
      </c>
    </row>
    <row r="13">
      <c r="A13" s="16" t="inlineStr">
        <is>
          <t>5. Stabilising and binders</t>
        </is>
      </c>
      <c r="B13" s="17" t="inlineStr">
        <is>
          <t>Enter cement content, the MOD density, and prime and tack application rates. Why: cement is ordered by the ton and binders by the litre, and both are a rate applied to a layer quantity.</t>
        </is>
      </c>
    </row>
    <row r="14">
      <c r="A14" s="16" t="inlineStr">
        <is>
          <t>6. Rates</t>
        </is>
      </c>
      <c r="B14" s="17" t="inlineStr">
        <is>
          <t>Each rate is built up on Build-ups from Resources: plant hours (1 / a cited output) x hire rate plus diesel, labour, material and profit. Check the orange-status inputs and replace any you have a better figure for; put a rate of your own in the green 'Your rate' column on Measure to override. Why: a rate you can trace is a rate you can defend, and the orange cells show exactly where the evidence is thin.</t>
        </is>
      </c>
    </row>
    <row r="15">
      <c r="A15" s="16" t="inlineStr">
        <is>
          <t>6a. Quote needed</t>
        </is>
      </c>
      <c r="B15" s="17" t="inlineStr">
        <is>
          <t>Asphalt surfacing (D3) and street name signs (F4) have no published South African price. Enter a subcontract or supplier quote on Resources; until then Measure leaves them out and says so under the total.</t>
        </is>
      </c>
    </row>
    <row r="16">
      <c r="A16" s="16" t="inlineStr">
        <is>
          <t>7. Read the totals</t>
        </is>
      </c>
      <c r="B16" s="17" t="inlineStr">
        <is>
          <t>Measure totals every section, then adds VAT. Earthworks shows the cut and fill balance. Why: the balance tells you whether you are buying fill or paying to dump spoil.</t>
        </is>
      </c>
    </row>
    <row r="18">
      <c r="A18" s="12" t="inlineStr">
        <is>
          <t>Measuring rules</t>
        </is>
      </c>
      <c r="B18" s="1" t="n"/>
    </row>
    <row r="19">
      <c r="A19" s="16" t="inlineStr">
        <is>
          <t>In place</t>
        </is>
      </c>
      <c r="B19" s="17" t="inlineStr">
        <is>
          <t>Layer volumes are measured to the finished shapes, sections and profiles on the drawings; material outside the specified lines is not paid unless ordered in writing (SANS 1200 ME cl 8.2; MF cl 8.2.1). Bulking and compaction factors belong in the rate, not in the measured quantity.</t>
        </is>
      </c>
    </row>
    <row r="20">
      <c r="A20" s="16" t="inlineStr">
        <is>
          <t>Commercial layers</t>
        </is>
      </c>
      <c r="B20" s="17" t="inlineStr">
        <is>
          <t>Subbase and base from a commercial source are one all-in rate per m3: source, material, transport to the road, spread, water, compact, grade, tolerances, testing. No extra for excavation class, processing or overhaul unless the project specification says so (ME cl 8.1(d), 8.3.3; MF cl 8.3.3).</t>
        </is>
      </c>
    </row>
    <row r="21">
      <c r="A21" s="16" t="inlineStr">
        <is>
          <t>Stabilising</t>
        </is>
      </c>
      <c r="B21" s="17" t="inlineStr">
        <is>
          <t>Process per m3 of layer, excluding the agent; cement or lime per t at the lesser of ordered and incorporated (ME cl 8.3.5(d), 8.3.8). Hence C7 and C8 are separate items.</t>
        </is>
      </c>
    </row>
    <row r="22">
      <c r="A22" s="16" t="inlineStr">
        <is>
          <t>Name the specification</t>
        </is>
      </c>
      <c r="B22" s="17" t="inlineStr">
        <is>
          <t>SANRAL work is let on the COTO 2020 Standard Specifications; much municipal work still names COLTO 1998 or SANS 1200. Measurement and payment items differ between them, so check which one the tender names.</t>
        </is>
      </c>
    </row>
    <row r="24">
      <c r="A24" s="12" t="inlineStr">
        <is>
          <t>What changed from the source template</t>
        </is>
      </c>
      <c r="B24" s="1" t="n"/>
    </row>
    <row r="25">
      <c r="A25" s="16" t="inlineStr">
        <is>
          <t>Fixed</t>
        </is>
      </c>
      <c r="B25" s="17" t="inlineStr">
        <is>
          <t>Total cut (12 600) and the selected-layer volumes (3 150 each) were typed in, so they did not move when the road changed; they now link. The roadbed length was typed as 2 500 m on a 3 000 m road; it now follows the road length unless you override it. The amount column had no total; Measure now has section totals, VAT and a grand total. Spoil had no bulking; Earthworks now gives the loose haul volume. Excavation percentages are labelled assumptions on Project.</t>
        </is>
      </c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4" customWidth="1" min="2" max="2"/>
    <col width="22" customWidth="1" min="3" max="3"/>
    <col width="70" customWidth="1" min="4" max="4"/>
  </cols>
  <sheetData>
    <row r="1" ht="30" customHeight="1">
      <c r="A1" s="14" t="inlineStr">
        <is>
          <t>Project inputs</t>
        </is>
      </c>
      <c r="B1" s="1" t="n"/>
      <c r="C1" s="1" t="n"/>
      <c r="D1" s="1" t="n"/>
    </row>
    <row r="2">
      <c r="A2" s="15" t="inlineStr">
        <is>
          <t>Green cells are inputs. The values shown are a worked example; overwrite them.</t>
        </is>
      </c>
    </row>
    <row r="3" ht="30" customHeight="1">
      <c r="A3" s="18" t="inlineStr">
        <is>
          <t>Input</t>
        </is>
      </c>
      <c r="B3" s="18" t="inlineStr"/>
      <c r="C3" s="18" t="inlineStr">
        <is>
          <t>Value</t>
        </is>
      </c>
      <c r="D3" s="18" t="inlineStr">
        <is>
          <t>Why it matters</t>
        </is>
      </c>
    </row>
    <row r="4">
      <c r="A4" s="19" t="inlineStr">
        <is>
          <t>Job</t>
        </is>
      </c>
      <c r="B4" s="20" t="n"/>
      <c r="C4" s="20" t="n"/>
      <c r="D4" s="20" t="n"/>
    </row>
    <row r="5">
      <c r="A5" s="21" t="inlineStr">
        <is>
          <t>Project</t>
        </is>
      </c>
      <c r="C5" s="22" t="inlineStr">
        <is>
          <t>Example - 3 km township road</t>
        </is>
      </c>
      <c r="D5" s="23" t="inlineStr">
        <is>
          <t>Appears on every printout.</t>
        </is>
      </c>
    </row>
    <row r="6">
      <c r="A6" s="21" t="inlineStr">
        <is>
          <t>Date measured</t>
        </is>
      </c>
      <c r="C6" s="24" t="n">
        <v>46314</v>
      </c>
      <c r="D6" s="23" t="inlineStr">
        <is>
          <t>Typed, not =TODAY().</t>
        </is>
      </c>
    </row>
    <row r="7">
      <c r="A7" s="19" t="inlineStr">
        <is>
          <t>Road dimensions (m)</t>
        </is>
      </c>
      <c r="B7" s="20" t="n"/>
      <c r="C7" s="20" t="n"/>
      <c r="D7" s="20" t="n"/>
    </row>
    <row r="8">
      <c r="A8" s="21" t="inlineStr">
        <is>
          <t>Road length</t>
        </is>
      </c>
      <c r="C8" s="25" t="n">
        <v>3000</v>
      </c>
      <c r="D8" s="23" t="inlineStr">
        <is>
          <t>Centreline length of the road being built.</t>
        </is>
      </c>
    </row>
    <row r="9">
      <c r="A9" s="21" t="inlineStr">
        <is>
          <t>Road reserve width</t>
        </is>
      </c>
      <c r="C9" s="25" t="n">
        <v>20</v>
      </c>
      <c r="D9" s="23" t="inlineStr">
        <is>
          <t>Width cleared and grubbed.</t>
        </is>
      </c>
    </row>
    <row r="10">
      <c r="A10" s="21" t="inlineStr">
        <is>
          <t>Surfaced (asphalt) width</t>
        </is>
      </c>
      <c r="C10" s="25" t="n">
        <v>6</v>
      </c>
      <c r="D10" s="23" t="inlineStr">
        <is>
          <t>Width of asphalt, prime and tack.</t>
        </is>
      </c>
    </row>
    <row r="11">
      <c r="A11" s="21" t="inlineStr">
        <is>
          <t>Box-cut width</t>
        </is>
      </c>
      <c r="C11" s="25" t="n">
        <v>7</v>
      </c>
      <c r="D11" s="23" t="inlineStr">
        <is>
          <t>Width of excavation and layerworks, including shoulders.</t>
        </is>
      </c>
    </row>
    <row r="12">
      <c r="A12" s="21" t="inlineStr">
        <is>
          <t>Roadbed length (blank = road length)</t>
        </is>
      </c>
      <c r="C12" s="25" t="n"/>
      <c r="D12" s="23" t="inlineStr">
        <is>
          <t>Override only if part of the road needs no roadbed treatment.</t>
        </is>
      </c>
    </row>
    <row r="13">
      <c r="A13" s="21" t="inlineStr">
        <is>
          <t>Roadbed length used</t>
        </is>
      </c>
      <c r="C13" s="26">
        <f>IF(rd_bed_len_in="",rd_len,rd_bed_len_in)</f>
        <v/>
      </c>
      <c r="D13" s="23" t="inlineStr">
        <is>
          <t>Derived.</t>
        </is>
      </c>
    </row>
    <row r="14">
      <c r="A14" s="19" t="inlineStr">
        <is>
          <t>Layer thicknesses (m)</t>
        </is>
      </c>
      <c r="B14" s="20" t="n"/>
      <c r="C14" s="20" t="n"/>
      <c r="D14" s="20" t="n"/>
    </row>
    <row r="15">
      <c r="A15" s="21" t="inlineStr">
        <is>
          <t>Lower selected layer</t>
        </is>
      </c>
      <c r="C15" s="27" t="n">
        <v>0.15</v>
      </c>
      <c r="D15" s="23" t="inlineStr">
        <is>
          <t>From the pavement design.</t>
        </is>
      </c>
    </row>
    <row r="16">
      <c r="A16" s="21" t="inlineStr">
        <is>
          <t>Upper selected layer</t>
        </is>
      </c>
      <c r="C16" s="27" t="n">
        <v>0.15</v>
      </c>
      <c r="D16" s="23" t="inlineStr"/>
    </row>
    <row r="17">
      <c r="A17" s="21" t="inlineStr">
        <is>
          <t>Subbase</t>
        </is>
      </c>
      <c r="C17" s="27" t="n">
        <v>0.15</v>
      </c>
      <c r="D17" s="23" t="inlineStr"/>
    </row>
    <row r="18">
      <c r="A18" s="21" t="inlineStr">
        <is>
          <t>Base</t>
        </is>
      </c>
      <c r="C18" s="27" t="n">
        <v>0.15</v>
      </c>
      <c r="D18" s="23" t="inlineStr"/>
    </row>
    <row r="19">
      <c r="A19" s="21" t="inlineStr">
        <is>
          <t>Roadbed treatment depth</t>
        </is>
      </c>
      <c r="C19" s="27" t="n">
        <v>0.15</v>
      </c>
      <c r="D19" s="23" t="inlineStr">
        <is>
          <t>Depth of in-situ roadbed ripped and recompacted.</t>
        </is>
      </c>
    </row>
    <row r="20">
      <c r="A20" s="21" t="inlineStr">
        <is>
          <t>Box-cut depth (sum of layers)</t>
        </is>
      </c>
      <c r="C20" s="28">
        <f>t_lsel+t_usel+t_sub+t_base</f>
        <v/>
      </c>
      <c r="D20" s="23" t="inlineStr">
        <is>
          <t>Derived - the excavation depth.</t>
        </is>
      </c>
    </row>
    <row r="21">
      <c r="A21" s="21" t="inlineStr">
        <is>
          <t>Topsoil strip depth</t>
        </is>
      </c>
      <c r="C21" s="27" t="n">
        <v>0.15</v>
      </c>
      <c r="D21" s="23" t="inlineStr"/>
    </row>
    <row r="22">
      <c r="A22" s="19" t="inlineStr">
        <is>
          <t>Earthworks assumptions</t>
        </is>
      </c>
      <c r="B22" s="20" t="n"/>
      <c r="C22" s="20" t="n"/>
      <c r="D22" s="20" t="n"/>
    </row>
    <row r="23">
      <c r="A23" s="21" t="inlineStr">
        <is>
          <t>Intermediate excavation (share of box cut)</t>
        </is>
      </c>
      <c r="C23" s="29" t="n">
        <v>0.15</v>
      </c>
      <c r="D23" s="23" t="inlineStr">
        <is>
          <t>From the geotechnical report. Assumption until you have one.</t>
        </is>
      </c>
    </row>
    <row r="24">
      <c r="A24" s="21" t="inlineStr">
        <is>
          <t>Hard rock excavation (share of box cut)</t>
        </is>
      </c>
      <c r="C24" s="29" t="n">
        <v>0.1</v>
      </c>
      <c r="D24" s="23" t="inlineStr">
        <is>
          <t>From the geotechnical report.</t>
        </is>
      </c>
    </row>
    <row r="25">
      <c r="A25" s="21" t="inlineStr">
        <is>
          <t>Cut to fill (m3, from the designer)</t>
        </is>
      </c>
      <c r="C25" s="25" t="n">
        <v>500</v>
      </c>
      <c r="D25" s="23" t="inlineStr">
        <is>
          <t>Volume the designer moves from cut to fill on site.</t>
        </is>
      </c>
    </row>
    <row r="26">
      <c r="A26" s="21" t="inlineStr">
        <is>
          <t>Unsuitable material removed (length m)</t>
        </is>
      </c>
      <c r="C26" s="25" t="n">
        <v>500</v>
      </c>
      <c r="D26" s="23" t="inlineStr">
        <is>
          <t>Length of road where unsuitable material is replaced.</t>
        </is>
      </c>
    </row>
    <row r="27">
      <c r="A27" s="21" t="inlineStr">
        <is>
          <t>Unsuitable material depth (m)</t>
        </is>
      </c>
      <c r="C27" s="27" t="n">
        <v>0.3</v>
      </c>
      <c r="D27" s="23" t="inlineStr"/>
    </row>
    <row r="28">
      <c r="A28" s="21" t="inlineStr">
        <is>
          <t>Oversize removed (share of selected layers)</t>
        </is>
      </c>
      <c r="C28" s="29" t="n">
        <v>0.05</v>
      </c>
      <c r="D28" s="23" t="inlineStr"/>
    </row>
    <row r="29">
      <c r="A29" s="21" t="inlineStr">
        <is>
          <t>Topsoil replaced (share of topsoil stripped)</t>
        </is>
      </c>
      <c r="C29" s="29" t="n">
        <v>1</v>
      </c>
      <c r="D29" s="23" t="inlineStr"/>
    </row>
    <row r="30">
      <c r="A30" s="21" t="inlineStr">
        <is>
          <t>Bulking factor for haul</t>
        </is>
      </c>
      <c r="C30" s="25" t="n">
        <v>1.3</v>
      </c>
      <c r="D30" s="23" t="inlineStr">
        <is>
          <t>Loose / in-place volume. 1.25-1.35 common for soil.</t>
        </is>
      </c>
    </row>
    <row r="31">
      <c r="A31" s="19" t="inlineStr">
        <is>
          <t>Stabilising and binders</t>
        </is>
      </c>
      <c r="B31" s="20" t="n"/>
      <c r="C31" s="20" t="n"/>
      <c r="D31" s="20" t="n"/>
    </row>
    <row r="32">
      <c r="A32" s="21" t="inlineStr">
        <is>
          <t>Cement content (by mass)</t>
        </is>
      </c>
      <c r="C32" s="29" t="n">
        <v>0.03</v>
      </c>
      <c r="D32" s="23" t="inlineStr">
        <is>
          <t>From the stabilisation design.</t>
        </is>
      </c>
    </row>
    <row r="33">
      <c r="A33" s="21" t="inlineStr">
        <is>
          <t>MOD density of subbase (kg/m3)</t>
        </is>
      </c>
      <c r="C33" s="30" t="n">
        <v>2000</v>
      </c>
      <c r="D33" s="23" t="inlineStr">
        <is>
          <t>Maximum dry density used to turn volume into mass.</t>
        </is>
      </c>
    </row>
    <row r="34">
      <c r="A34" s="21" t="inlineStr">
        <is>
          <t>Prime coat (l/m2)</t>
        </is>
      </c>
      <c r="C34" s="25" t="n">
        <v>0.8</v>
      </c>
      <c r="D34" s="23" t="inlineStr">
        <is>
          <t>Application rate on the base.</t>
        </is>
      </c>
    </row>
    <row r="35">
      <c r="A35" s="21" t="inlineStr">
        <is>
          <t>Tack coat (l/m2)</t>
        </is>
      </c>
      <c r="C35" s="25" t="n">
        <v>0.5</v>
      </c>
      <c r="D35" s="23" t="inlineStr">
        <is>
          <t>Application rate under the asphalt.</t>
        </is>
      </c>
    </row>
    <row r="36">
      <c r="A36" s="19" t="inlineStr">
        <is>
          <t>Pricing (feeds Build-ups)</t>
        </is>
      </c>
      <c r="B36" s="20" t="n"/>
      <c r="C36" s="20" t="n"/>
      <c r="D36" s="20" t="n"/>
    </row>
    <row r="37">
      <c r="A37" s="21" t="inlineStr">
        <is>
          <t>Profit on direct cost</t>
        </is>
      </c>
      <c r="C37" s="29" t="n">
        <v>0.125</v>
      </c>
      <c r="D37" s="23" t="inlineStr">
        <is>
          <t>Setout rate library setting. P&amp;G is not in these rates: price it in the P&amp;G pack.</t>
        </is>
      </c>
    </row>
    <row r="38">
      <c r="A38" s="21" t="inlineStr">
        <is>
          <t>Diesel (R/L)</t>
        </is>
      </c>
      <c r="C38" s="25" t="n">
        <v>29.11</v>
      </c>
      <c r="D38" s="23" t="inlineStr">
        <is>
          <t>Wholesale inland 0.05% S from 02/09/2026 (DMRE adjustment, reported in The Rate Sheet). Update monthly.</t>
        </is>
      </c>
    </row>
    <row r="39">
      <c r="A39" s="21" t="inlineStr">
        <is>
          <t>Working hours per day</t>
        </is>
      </c>
      <c r="C39" s="30" t="n">
        <v>9</v>
      </c>
      <c r="D39" s="23" t="inlineStr">
        <is>
          <t>Converts day rates and labour-days to hours (Setout rate library convention).</t>
        </is>
      </c>
    </row>
    <row r="40">
      <c r="A40" s="21" t="inlineStr">
        <is>
          <t>Site haul distance (km, one way)</t>
        </is>
      </c>
      <c r="C40" s="25" t="n">
        <v>0.5</v>
      </c>
      <c r="D40" s="23" t="inlineStr">
        <is>
          <t>ASSUMPTION - average cut-to-fill and reuse haul. Measure it from the mass-haul.</t>
        </is>
      </c>
    </row>
    <row r="41">
      <c r="A41" s="21" t="inlineStr">
        <is>
          <t>Haul to spoil (km, one way)</t>
        </is>
      </c>
      <c r="C41" s="25" t="n">
        <v>2</v>
      </c>
      <c r="D41" s="23" t="inlineStr">
        <is>
          <t>Set to the 2 km free haul (SANS 1200 ME cl 8.1(c)); overhaul beyond it is a separate item.</t>
        </is>
      </c>
    </row>
    <row r="42">
      <c r="A42" s="21" t="inlineStr">
        <is>
          <t>Quarry to site (km, one way)</t>
        </is>
      </c>
      <c r="C42" s="25" t="n">
        <v>20</v>
      </c>
      <c r="D42" s="23" t="inlineStr">
        <is>
          <t>ASSUMPTION - distance to the commercial source of G2, G5 and rock fill.</t>
        </is>
      </c>
    </row>
    <row r="43">
      <c r="A43" s="21" t="inlineStr">
        <is>
          <t>Water source to site (km)</t>
        </is>
      </c>
      <c r="C43" s="25" t="n">
        <v>2</v>
      </c>
      <c r="D43" s="23" t="inlineStr">
        <is>
          <t>ASSUMPTION - lead for the water cart.</t>
        </is>
      </c>
    </row>
    <row r="44">
      <c r="A44" s="21" t="inlineStr">
        <is>
          <t>Water bought (R/kL)</t>
        </is>
      </c>
      <c r="C44" s="25" t="n">
        <v>0</v>
      </c>
      <c r="D44" s="23" t="inlineStr">
        <is>
          <t>Zero if water comes free from a hydrant or borehole; enter the municipal tariff if you pay for it.</t>
        </is>
      </c>
    </row>
    <row r="45">
      <c r="A45" s="21" t="inlineStr">
        <is>
          <t>Tip fee (R/t)</t>
        </is>
      </c>
      <c r="C45" s="25" t="n">
        <v>0</v>
      </c>
      <c r="D45" s="23" t="inlineStr">
        <is>
          <t>Zero for a designated spoil site. A landfill charges, e.g. Cape Town clean rubble R31.30/t excl VAT (2026/27 tariff).</t>
        </is>
      </c>
    </row>
    <row r="46">
      <c r="A46" s="21" t="inlineStr">
        <is>
          <t>VAT rate</t>
        </is>
      </c>
      <c r="C46" s="29" t="n">
        <v>0.15</v>
      </c>
      <c r="D46" s="23" t="inlineStr"/>
    </row>
  </sheetData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45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46" customWidth="1" min="2" max="2"/>
    <col width="8" customWidth="1" min="3" max="3"/>
    <col width="10" customWidth="1" min="4" max="4"/>
    <col width="12" customWidth="1" min="5" max="5"/>
    <col width="10" customWidth="1" min="6" max="6"/>
    <col width="10" customWidth="1" min="7" max="7"/>
    <col width="14" customWidth="1" min="8" max="8"/>
    <col width="14" customWidth="1" min="9" max="9"/>
    <col width="14" customWidth="1" min="10" max="10"/>
    <col width="18" customWidth="1" min="11" max="11"/>
    <col width="40" customWidth="1" min="12" max="12"/>
  </cols>
  <sheetData>
    <row r="1" ht="30" customHeight="1">
      <c r="A1" s="14" t="inlineStr">
        <is>
          <t>Measure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>
      <c r="A2" s="15" t="inlineStr">
        <is>
          <t>Quantity = number x length x width x depth unless the item says otherwise. Rates come from Build-ups; override in the green column if you have your own.</t>
        </is>
      </c>
    </row>
    <row r="4" ht="30" customHeight="1">
      <c r="A4" s="18" t="inlineStr">
        <is>
          <t>Item</t>
        </is>
      </c>
      <c r="B4" s="18" t="inlineStr">
        <is>
          <t>Description</t>
        </is>
      </c>
      <c r="C4" s="18" t="inlineStr">
        <is>
          <t>Unit</t>
        </is>
      </c>
      <c r="D4" s="18" t="inlineStr">
        <is>
          <t>Number</t>
        </is>
      </c>
      <c r="E4" s="18" t="inlineStr">
        <is>
          <t>Length</t>
        </is>
      </c>
      <c r="F4" s="18" t="inlineStr">
        <is>
          <t>Width</t>
        </is>
      </c>
      <c r="G4" s="18" t="inlineStr">
        <is>
          <t>Depth</t>
        </is>
      </c>
      <c r="H4" s="18" t="inlineStr">
        <is>
          <t>Quantity</t>
        </is>
      </c>
      <c r="I4" s="18" t="inlineStr">
        <is>
          <t>Build-up rate (R)</t>
        </is>
      </c>
      <c r="J4" s="18" t="inlineStr">
        <is>
          <t>Your rate (R)</t>
        </is>
      </c>
      <c r="K4" s="18" t="inlineStr">
        <is>
          <t>Amount (R)</t>
        </is>
      </c>
      <c r="L4" s="18" t="inlineStr">
        <is>
          <t>How the quantity is built / rate status</t>
        </is>
      </c>
    </row>
    <row r="5">
      <c r="A5" s="19" t="inlineStr">
        <is>
          <t>A</t>
        </is>
      </c>
      <c r="B5" s="19" t="inlineStr">
        <is>
          <t>Site clearance</t>
        </is>
      </c>
      <c r="C5" s="20" t="n"/>
      <c r="D5" s="20" t="n"/>
      <c r="E5" s="20" t="n"/>
      <c r="F5" s="20" t="n"/>
      <c r="G5" s="20" t="n"/>
      <c r="H5" s="20" t="n"/>
      <c r="I5" s="20" t="n"/>
      <c r="J5" s="20" t="n"/>
      <c r="K5" s="31">
        <f>SUM(K6:K8)</f>
        <v/>
      </c>
      <c r="L5" s="20" t="n"/>
    </row>
    <row r="6">
      <c r="A6" t="inlineStr">
        <is>
          <t>A1</t>
        </is>
      </c>
      <c r="B6" t="inlineStr">
        <is>
          <t>Clear and grub road reserve</t>
        </is>
      </c>
      <c r="C6" t="inlineStr">
        <is>
          <t>m2</t>
        </is>
      </c>
      <c r="D6" s="25" t="n">
        <v>1</v>
      </c>
      <c r="E6" s="26">
        <f>rd_len</f>
        <v/>
      </c>
      <c r="F6" s="26">
        <f>rd_reserve</f>
        <v/>
      </c>
      <c r="G6" s="32" t="n">
        <v>1</v>
      </c>
      <c r="H6" s="26">
        <f>D6*E6*F6*G6</f>
        <v/>
      </c>
      <c r="I6" s="33">
        <f>bu_A1</f>
        <v/>
      </c>
      <c r="J6" s="34" t="n"/>
      <c r="K6" s="33">
        <f>H6*IF(J6="",I6,J6)</f>
        <v/>
      </c>
      <c r="L6" s="35">
        <f>IF(AND(J6="",bq_A1&lt;&gt;""),bq_A1,"Road length x reserve width")</f>
        <v/>
      </c>
    </row>
    <row r="7">
      <c r="A7" t="inlineStr">
        <is>
          <t>A2</t>
        </is>
      </c>
      <c r="B7" t="inlineStr">
        <is>
          <t>Strip topsoil and stockpile on site</t>
        </is>
      </c>
      <c r="C7" t="inlineStr">
        <is>
          <t>m3</t>
        </is>
      </c>
      <c r="D7" s="25" t="n">
        <v>1</v>
      </c>
      <c r="E7" s="26">
        <f>rd_len</f>
        <v/>
      </c>
      <c r="F7" s="26">
        <f>rd_reserve</f>
        <v/>
      </c>
      <c r="G7" s="36">
        <f>t_topsoil</f>
        <v/>
      </c>
      <c r="H7" s="26">
        <f>D7*E7*F7*G7</f>
        <v/>
      </c>
      <c r="I7" s="33">
        <f>bu_A2</f>
        <v/>
      </c>
      <c r="J7" s="34" t="n"/>
      <c r="K7" s="33">
        <f>H7*IF(J7="",I7,J7)</f>
        <v/>
      </c>
      <c r="L7" s="35">
        <f>IF(AND(J7="",bq_A2&lt;&gt;""),bq_A2,"Cleared area x strip depth")</f>
        <v/>
      </c>
    </row>
    <row r="8">
      <c r="A8" t="inlineStr">
        <is>
          <t>A3</t>
        </is>
      </c>
      <c r="B8" t="inlineStr">
        <is>
          <t>Replace topsoil from stockpile</t>
        </is>
      </c>
      <c r="C8" t="inlineStr">
        <is>
          <t>m3</t>
        </is>
      </c>
      <c r="D8" s="26">
        <f>x_topsoil_back</f>
        <v/>
      </c>
      <c r="E8" s="26">
        <f>H7</f>
        <v/>
      </c>
      <c r="F8" s="25" t="n">
        <v>1</v>
      </c>
      <c r="G8" s="32" t="n">
        <v>1</v>
      </c>
      <c r="H8" s="26">
        <f>D8*E8*F8*G8</f>
        <v/>
      </c>
      <c r="I8" s="33">
        <f>bu_A3</f>
        <v/>
      </c>
      <c r="J8" s="34" t="n"/>
      <c r="K8" s="33">
        <f>H8*IF(J8="",I8,J8)</f>
        <v/>
      </c>
      <c r="L8" s="35">
        <f>IF(AND(J8="",bq_A3&lt;&gt;""),bq_A3,"Share of the stripped volume")</f>
        <v/>
      </c>
    </row>
    <row r="9">
      <c r="A9" s="19" t="inlineStr">
        <is>
          <t>B</t>
        </is>
      </c>
      <c r="B9" s="19" t="inlineStr">
        <is>
          <t>Earthworks</t>
        </is>
      </c>
      <c r="C9" s="20" t="n"/>
      <c r="D9" s="20" t="n"/>
      <c r="E9" s="20" t="n"/>
      <c r="F9" s="20" t="n"/>
      <c r="G9" s="20" t="n"/>
      <c r="H9" s="20" t="n"/>
      <c r="I9" s="20" t="n"/>
      <c r="J9" s="20" t="n"/>
      <c r="K9" s="31">
        <f>SUM(K10:K15)</f>
        <v/>
      </c>
      <c r="L9" s="20" t="n"/>
    </row>
    <row r="10">
      <c r="A10" t="inlineStr">
        <is>
          <t>B1</t>
        </is>
      </c>
      <c r="B10" t="inlineStr">
        <is>
          <t>Box cut, all materials (information - not paid separately)</t>
        </is>
      </c>
      <c r="C10" t="inlineStr">
        <is>
          <t>m3</t>
        </is>
      </c>
      <c r="D10" s="25" t="n">
        <v>1</v>
      </c>
      <c r="E10" s="26">
        <f>rd_len</f>
        <v/>
      </c>
      <c r="F10" s="26">
        <f>rd_box</f>
        <v/>
      </c>
      <c r="G10" s="36">
        <f>t_box</f>
        <v/>
      </c>
      <c r="H10" s="26">
        <f>D10*E10*F10*G10</f>
        <v/>
      </c>
      <c r="I10" s="37" t="inlineStr">
        <is>
          <t>information</t>
        </is>
      </c>
      <c r="K10" s="21" t="n"/>
      <c r="L10" s="23" t="inlineStr">
        <is>
          <t>Length x box width x sum of layers</t>
        </is>
      </c>
    </row>
    <row r="11">
      <c r="A11" t="inlineStr">
        <is>
          <t>B2</t>
        </is>
      </c>
      <c r="B11" t="inlineStr">
        <is>
          <t>Extra over for intermediate excavation</t>
        </is>
      </c>
      <c r="C11" t="inlineStr">
        <is>
          <t>m3</t>
        </is>
      </c>
      <c r="D11" s="26">
        <f>x_int</f>
        <v/>
      </c>
      <c r="E11" s="26">
        <f>H10</f>
        <v/>
      </c>
      <c r="F11" s="25" t="n">
        <v>1</v>
      </c>
      <c r="G11" s="32" t="n">
        <v>1</v>
      </c>
      <c r="H11" s="26">
        <f>D11*E11*F11*G11</f>
        <v/>
      </c>
      <c r="I11" s="33">
        <f>bu_B2</f>
        <v/>
      </c>
      <c r="J11" s="34" t="n"/>
      <c r="K11" s="33">
        <f>H11*IF(J11="",I11,J11)</f>
        <v/>
      </c>
      <c r="L11" s="35">
        <f>IF(AND(J11="",bq_B2&lt;&gt;""),bq_B2,"Share of box cut (Project)")</f>
        <v/>
      </c>
    </row>
    <row r="12">
      <c r="A12" t="inlineStr">
        <is>
          <t>B3</t>
        </is>
      </c>
      <c r="B12" t="inlineStr">
        <is>
          <t>Extra over for hard rock excavation</t>
        </is>
      </c>
      <c r="C12" t="inlineStr">
        <is>
          <t>m3</t>
        </is>
      </c>
      <c r="D12" s="26">
        <f>x_hard</f>
        <v/>
      </c>
      <c r="E12" s="26">
        <f>H10</f>
        <v/>
      </c>
      <c r="F12" s="25" t="n">
        <v>1</v>
      </c>
      <c r="G12" s="32" t="n">
        <v>1</v>
      </c>
      <c r="H12" s="26">
        <f>D12*E12*F12*G12</f>
        <v/>
      </c>
      <c r="I12" s="33">
        <f>bu_B3</f>
        <v/>
      </c>
      <c r="J12" s="34" t="n"/>
      <c r="K12" s="33">
        <f>H12*IF(J12="",I12,J12)</f>
        <v/>
      </c>
      <c r="L12" s="35">
        <f>IF(AND(J12="",bq_B3&lt;&gt;""),bq_B3,"Share of box cut (Project)")</f>
        <v/>
      </c>
    </row>
    <row r="13">
      <c r="A13" t="inlineStr">
        <is>
          <t>B4</t>
        </is>
      </c>
      <c r="B13" t="inlineStr">
        <is>
          <t>Cut to fill</t>
        </is>
      </c>
      <c r="C13" t="inlineStr">
        <is>
          <t>m3</t>
        </is>
      </c>
      <c r="D13" s="25" t="n">
        <v>1</v>
      </c>
      <c r="E13" s="26">
        <f>x_cut_fill</f>
        <v/>
      </c>
      <c r="F13" s="25" t="n">
        <v>1</v>
      </c>
      <c r="G13" s="32" t="n">
        <v>1</v>
      </c>
      <c r="H13" s="26">
        <f>D13*E13*F13*G13</f>
        <v/>
      </c>
      <c r="I13" s="33">
        <f>bu_B4</f>
        <v/>
      </c>
      <c r="J13" s="34" t="n"/>
      <c r="K13" s="33">
        <f>H13*IF(J13="",I13,J13)</f>
        <v/>
      </c>
      <c r="L13" s="35">
        <f>IF(AND(J13="",bq_B4&lt;&gt;""),bq_B4,"From the designer")</f>
        <v/>
      </c>
    </row>
    <row r="14">
      <c r="A14" t="inlineStr">
        <is>
          <t>B5</t>
        </is>
      </c>
      <c r="B14" t="inlineStr">
        <is>
          <t>Cut to spoil (in place)</t>
        </is>
      </c>
      <c r="C14" t="inlineStr">
        <is>
          <t>m3</t>
        </is>
      </c>
      <c r="D14" s="25" t="n">
        <v>1</v>
      </c>
      <c r="E14" s="26">
        <f>Earthworks!C9</f>
        <v/>
      </c>
      <c r="F14" s="25" t="n">
        <v>1</v>
      </c>
      <c r="G14" s="32" t="n">
        <v>1</v>
      </c>
      <c r="H14" s="26">
        <f>D14*E14*F14*G14</f>
        <v/>
      </c>
      <c r="I14" s="33">
        <f>bu_B5</f>
        <v/>
      </c>
      <c r="J14" s="34" t="n"/>
      <c r="K14" s="33">
        <f>H14*IF(J14="",I14,J14)</f>
        <v/>
      </c>
      <c r="L14" s="35">
        <f>IF(AND(J14="",bq_B5&lt;&gt;""),bq_B5,"See Earthworks")</f>
        <v/>
      </c>
    </row>
    <row r="15">
      <c r="A15" t="inlineStr">
        <is>
          <t>B6</t>
        </is>
      </c>
      <c r="B15" t="inlineStr">
        <is>
          <t>Remove unsuitable material</t>
        </is>
      </c>
      <c r="C15" t="inlineStr">
        <is>
          <t>m3</t>
        </is>
      </c>
      <c r="D15" s="25" t="n">
        <v>1</v>
      </c>
      <c r="E15" s="26">
        <f>x_unsuit_len</f>
        <v/>
      </c>
      <c r="F15" s="26">
        <f>rd_box</f>
        <v/>
      </c>
      <c r="G15" s="36">
        <f>x_unsuit_dep</f>
        <v/>
      </c>
      <c r="H15" s="26">
        <f>D15*E15*F15*G15</f>
        <v/>
      </c>
      <c r="I15" s="33">
        <f>bu_B6</f>
        <v/>
      </c>
      <c r="J15" s="34" t="n"/>
      <c r="K15" s="33">
        <f>H15*IF(J15="",I15,J15)</f>
        <v/>
      </c>
      <c r="L15" s="35">
        <f>IF(AND(J15="",bq_B6&lt;&gt;""),bq_B6,"Length x box width x depth")</f>
        <v/>
      </c>
    </row>
    <row r="16">
      <c r="A16" s="19" t="inlineStr">
        <is>
          <t>C</t>
        </is>
      </c>
      <c r="B16" s="19" t="inlineStr">
        <is>
          <t>Layerworks</t>
        </is>
      </c>
      <c r="C16" s="20" t="n"/>
      <c r="D16" s="20" t="n"/>
      <c r="E16" s="20" t="n"/>
      <c r="F16" s="20" t="n"/>
      <c r="G16" s="20" t="n"/>
      <c r="H16" s="20" t="n"/>
      <c r="I16" s="20" t="n"/>
      <c r="J16" s="20" t="n"/>
      <c r="K16" s="31">
        <f>SUM(K17:K25)</f>
        <v/>
      </c>
      <c r="L16" s="20" t="n"/>
    </row>
    <row r="17">
      <c r="A17" t="inlineStr">
        <is>
          <t>C1</t>
        </is>
      </c>
      <c r="B17" t="inlineStr">
        <is>
          <t>Roadbed preparation and compaction</t>
        </is>
      </c>
      <c r="C17" t="inlineStr">
        <is>
          <t>m3</t>
        </is>
      </c>
      <c r="D17" s="25" t="n">
        <v>1</v>
      </c>
      <c r="E17" s="26">
        <f>rd_bed_len</f>
        <v/>
      </c>
      <c r="F17" s="26">
        <f>rd_box</f>
        <v/>
      </c>
      <c r="G17" s="36">
        <f>t_bed</f>
        <v/>
      </c>
      <c r="H17" s="26">
        <f>D17*E17*F17*G17</f>
        <v/>
      </c>
      <c r="I17" s="33">
        <f>bu_C1</f>
        <v/>
      </c>
      <c r="J17" s="34" t="n"/>
      <c r="K17" s="33">
        <f>H17*IF(J17="",I17,J17)</f>
        <v/>
      </c>
      <c r="L17" s="35">
        <f>IF(AND(J17="",bq_C1&lt;&gt;""),bq_C1,"Roadbed length x box width x depth")</f>
        <v/>
      </c>
    </row>
    <row r="18">
      <c r="A18" t="inlineStr">
        <is>
          <t>C2</t>
        </is>
      </c>
      <c r="B18" t="inlineStr">
        <is>
          <t>Rock fill to replace unsuitable material (commercial)</t>
        </is>
      </c>
      <c r="C18" t="inlineStr">
        <is>
          <t>m3</t>
        </is>
      </c>
      <c r="D18" s="25" t="n">
        <v>1</v>
      </c>
      <c r="E18" s="26">
        <f>x_unsuit_len</f>
        <v/>
      </c>
      <c r="F18" s="26">
        <f>rd_box</f>
        <v/>
      </c>
      <c r="G18" s="36">
        <f>x_unsuit_dep</f>
        <v/>
      </c>
      <c r="H18" s="26">
        <f>D18*E18*F18*G18</f>
        <v/>
      </c>
      <c r="I18" s="33">
        <f>bu_C2</f>
        <v/>
      </c>
      <c r="J18" s="34" t="n"/>
      <c r="K18" s="33">
        <f>H18*IF(J18="",I18,J18)</f>
        <v/>
      </c>
      <c r="L18" s="35">
        <f>IF(AND(J18="",bq_C2&lt;&gt;""),bq_C2,"Same volume as B6")</f>
        <v/>
      </c>
    </row>
    <row r="19">
      <c r="A19" t="inlineStr">
        <is>
          <t>C3</t>
        </is>
      </c>
      <c r="B19" t="inlineStr">
        <is>
          <t>Lower selected layer (from site)</t>
        </is>
      </c>
      <c r="C19" t="inlineStr">
        <is>
          <t>m3</t>
        </is>
      </c>
      <c r="D19" s="25" t="n">
        <v>1</v>
      </c>
      <c r="E19" s="26">
        <f>rd_len</f>
        <v/>
      </c>
      <c r="F19" s="26">
        <f>rd_box</f>
        <v/>
      </c>
      <c r="G19" s="36">
        <f>t_lsel</f>
        <v/>
      </c>
      <c r="H19" s="26">
        <f>D19*E19*F19*G19</f>
        <v/>
      </c>
      <c r="I19" s="33">
        <f>bu_C3</f>
        <v/>
      </c>
      <c r="J19" s="34" t="n"/>
      <c r="K19" s="33">
        <f>H19*IF(J19="",I19,J19)</f>
        <v/>
      </c>
      <c r="L19" s="35">
        <f>IF(AND(J19="",bq_C3&lt;&gt;""),bq_C3,"Length x box width x thickness")</f>
        <v/>
      </c>
    </row>
    <row r="20">
      <c r="A20" t="inlineStr">
        <is>
          <t>C4</t>
        </is>
      </c>
      <c r="B20" t="inlineStr">
        <is>
          <t>Upper selected layer (from site)</t>
        </is>
      </c>
      <c r="C20" t="inlineStr">
        <is>
          <t>m3</t>
        </is>
      </c>
      <c r="D20" s="25" t="n">
        <v>1</v>
      </c>
      <c r="E20" s="26">
        <f>rd_len</f>
        <v/>
      </c>
      <c r="F20" s="26">
        <f>rd_box</f>
        <v/>
      </c>
      <c r="G20" s="36">
        <f>t_usel</f>
        <v/>
      </c>
      <c r="H20" s="26">
        <f>D20*E20*F20*G20</f>
        <v/>
      </c>
      <c r="I20" s="33">
        <f>bu_C4</f>
        <v/>
      </c>
      <c r="J20" s="34" t="n"/>
      <c r="K20" s="33">
        <f>H20*IF(J20="",I20,J20)</f>
        <v/>
      </c>
      <c r="L20" s="35">
        <f>IF(AND(J20="",bq_C4&lt;&gt;""),bq_C4,"")</f>
        <v/>
      </c>
    </row>
    <row r="21">
      <c r="A21" t="inlineStr">
        <is>
          <t>C5</t>
        </is>
      </c>
      <c r="B21" t="inlineStr">
        <is>
          <t>Remove oversize material from selected layers</t>
        </is>
      </c>
      <c r="C21" t="inlineStr">
        <is>
          <t>m3</t>
        </is>
      </c>
      <c r="D21" s="26">
        <f>x_oversize</f>
        <v/>
      </c>
      <c r="E21" s="26">
        <f>H19+H20</f>
        <v/>
      </c>
      <c r="F21" s="25" t="n">
        <v>1</v>
      </c>
      <c r="G21" s="32" t="n">
        <v>1</v>
      </c>
      <c r="H21" s="26">
        <f>D21*E21*F21*G21</f>
        <v/>
      </c>
      <c r="I21" s="33">
        <f>bu_C5</f>
        <v/>
      </c>
      <c r="J21" s="34" t="n"/>
      <c r="K21" s="33">
        <f>H21*IF(J21="",I21,J21)</f>
        <v/>
      </c>
      <c r="L21" s="35">
        <f>IF(AND(J21="",bq_C5&lt;&gt;""),bq_C5,"Share of both selected layers")</f>
        <v/>
      </c>
    </row>
    <row r="22">
      <c r="A22" t="inlineStr">
        <is>
          <t>C6</t>
        </is>
      </c>
      <c r="B22" t="inlineStr">
        <is>
          <t>Subbase (commercial)</t>
        </is>
      </c>
      <c r="C22" t="inlineStr">
        <is>
          <t>m3</t>
        </is>
      </c>
      <c r="D22" s="25" t="n">
        <v>1</v>
      </c>
      <c r="E22" s="26">
        <f>rd_len</f>
        <v/>
      </c>
      <c r="F22" s="26">
        <f>rd_box</f>
        <v/>
      </c>
      <c r="G22" s="36">
        <f>t_sub</f>
        <v/>
      </c>
      <c r="H22" s="26">
        <f>D22*E22*F22*G22</f>
        <v/>
      </c>
      <c r="I22" s="33">
        <f>bu_C6</f>
        <v/>
      </c>
      <c r="J22" s="34" t="n"/>
      <c r="K22" s="33">
        <f>H22*IF(J22="",I22,J22)</f>
        <v/>
      </c>
      <c r="L22" s="35">
        <f>IF(AND(J22="",bq_C6&lt;&gt;""),bq_C6,"")</f>
        <v/>
      </c>
    </row>
    <row r="23">
      <c r="A23" t="inlineStr">
        <is>
          <t>C7</t>
        </is>
      </c>
      <c r="B23" t="inlineStr">
        <is>
          <t>Stabilise subbase</t>
        </is>
      </c>
      <c r="C23" t="inlineStr">
        <is>
          <t>m3</t>
        </is>
      </c>
      <c r="D23" s="25" t="n">
        <v>1</v>
      </c>
      <c r="E23" s="26">
        <f>H22</f>
        <v/>
      </c>
      <c r="F23" s="25" t="n">
        <v>1</v>
      </c>
      <c r="G23" s="32" t="n">
        <v>1</v>
      </c>
      <c r="H23" s="26">
        <f>D23*E23*F23*G23</f>
        <v/>
      </c>
      <c r="I23" s="33">
        <f>bu_C7</f>
        <v/>
      </c>
      <c r="J23" s="34" t="n"/>
      <c r="K23" s="33">
        <f>H23*IF(J23="",I23,J23)</f>
        <v/>
      </c>
      <c r="L23" s="35">
        <f>IF(AND(J23="",bq_C7&lt;&gt;""),bq_C7,"Same volume as C6")</f>
        <v/>
      </c>
    </row>
    <row r="24">
      <c r="A24" t="inlineStr">
        <is>
          <t>C8</t>
        </is>
      </c>
      <c r="B24" t="inlineStr">
        <is>
          <t>Cement for stabilising</t>
        </is>
      </c>
      <c r="C24" t="inlineStr">
        <is>
          <t>t</t>
        </is>
      </c>
      <c r="D24" s="26">
        <f>s_cement</f>
        <v/>
      </c>
      <c r="E24" s="26">
        <f>s_mod</f>
        <v/>
      </c>
      <c r="F24" s="26">
        <f>H23</f>
        <v/>
      </c>
      <c r="G24" s="36">
        <f>1/1000</f>
        <v/>
      </c>
      <c r="H24" s="26">
        <f>D24*E24*F24*G24</f>
        <v/>
      </c>
      <c r="I24" s="33">
        <f>bu_C8</f>
        <v/>
      </c>
      <c r="J24" s="34" t="n"/>
      <c r="K24" s="33">
        <f>H24*IF(J24="",I24,J24)</f>
        <v/>
      </c>
      <c r="L24" s="35">
        <f>IF(AND(J24="",bq_C8&lt;&gt;""),bq_C8,"Cement % x MOD density x volume / 1 000")</f>
        <v/>
      </c>
    </row>
    <row r="25">
      <c r="A25" t="inlineStr">
        <is>
          <t>C9</t>
        </is>
      </c>
      <c r="B25" t="inlineStr">
        <is>
          <t>Base (commercial)</t>
        </is>
      </c>
      <c r="C25" t="inlineStr">
        <is>
          <t>m3</t>
        </is>
      </c>
      <c r="D25" s="25" t="n">
        <v>1</v>
      </c>
      <c r="E25" s="26">
        <f>rd_len</f>
        <v/>
      </c>
      <c r="F25" s="26">
        <f>rd_surf</f>
        <v/>
      </c>
      <c r="G25" s="36">
        <f>t_base</f>
        <v/>
      </c>
      <c r="H25" s="26">
        <f>D25*E25*F25*G25</f>
        <v/>
      </c>
      <c r="I25" s="33">
        <f>bu_C9</f>
        <v/>
      </c>
      <c r="J25" s="34" t="n"/>
      <c r="K25" s="33">
        <f>H25*IF(J25="",I25,J25)</f>
        <v/>
      </c>
      <c r="L25" s="35">
        <f>IF(AND(J25="",bq_C9&lt;&gt;""),bq_C9,"Length x surfaced width x thickness")</f>
        <v/>
      </c>
    </row>
    <row r="26">
      <c r="A26" s="19" t="inlineStr">
        <is>
          <t>D</t>
        </is>
      </c>
      <c r="B26" s="19" t="inlineStr">
        <is>
          <t>Surfacing</t>
        </is>
      </c>
      <c r="C26" s="20" t="n"/>
      <c r="D26" s="20" t="n"/>
      <c r="E26" s="20" t="n"/>
      <c r="F26" s="20" t="n"/>
      <c r="G26" s="20" t="n"/>
      <c r="H26" s="20" t="n"/>
      <c r="I26" s="20" t="n"/>
      <c r="J26" s="20" t="n"/>
      <c r="K26" s="31">
        <f>SUM(K27:K29)</f>
        <v/>
      </c>
      <c r="L26" s="20" t="n"/>
    </row>
    <row r="27">
      <c r="A27" t="inlineStr">
        <is>
          <t>D1</t>
        </is>
      </c>
      <c r="B27" t="inlineStr">
        <is>
          <t>Prime coat</t>
        </is>
      </c>
      <c r="C27" t="inlineStr">
        <is>
          <t>l</t>
        </is>
      </c>
      <c r="D27" s="26">
        <f>s_prime</f>
        <v/>
      </c>
      <c r="E27" s="26">
        <f>H29</f>
        <v/>
      </c>
      <c r="F27" s="25" t="n">
        <v>1</v>
      </c>
      <c r="G27" s="32" t="n">
        <v>1</v>
      </c>
      <c r="H27" s="26">
        <f>D27*E27*F27*G27</f>
        <v/>
      </c>
      <c r="I27" s="33">
        <f>bu_D1</f>
        <v/>
      </c>
      <c r="J27" s="34" t="n"/>
      <c r="K27" s="33">
        <f>H27*IF(J27="",I27,J27)</f>
        <v/>
      </c>
      <c r="L27" s="35">
        <f>IF(AND(J27="",bq_D1&lt;&gt;""),bq_D1,"Rate (l/m2) x asphalt area")</f>
        <v/>
      </c>
    </row>
    <row r="28">
      <c r="A28" t="inlineStr">
        <is>
          <t>D2</t>
        </is>
      </c>
      <c r="B28" t="inlineStr">
        <is>
          <t>Tack coat</t>
        </is>
      </c>
      <c r="C28" t="inlineStr">
        <is>
          <t>l</t>
        </is>
      </c>
      <c r="D28" s="26">
        <f>s_tack</f>
        <v/>
      </c>
      <c r="E28" s="26">
        <f>H29</f>
        <v/>
      </c>
      <c r="F28" s="25" t="n">
        <v>1</v>
      </c>
      <c r="G28" s="32" t="n">
        <v>1</v>
      </c>
      <c r="H28" s="26">
        <f>D28*E28*F28*G28</f>
        <v/>
      </c>
      <c r="I28" s="33">
        <f>bu_D2</f>
        <v/>
      </c>
      <c r="J28" s="34" t="n"/>
      <c r="K28" s="33">
        <f>H28*IF(J28="",I28,J28)</f>
        <v/>
      </c>
      <c r="L28" s="35">
        <f>IF(AND(J28="",bq_D2&lt;&gt;""),bq_D2,"Rate (l/m2) x asphalt area")</f>
        <v/>
      </c>
    </row>
    <row r="29">
      <c r="A29" t="inlineStr">
        <is>
          <t>D3</t>
        </is>
      </c>
      <c r="B29" t="inlineStr">
        <is>
          <t>30 mm asphalt surfacing</t>
        </is>
      </c>
      <c r="C29" t="inlineStr">
        <is>
          <t>m2</t>
        </is>
      </c>
      <c r="D29" s="25" t="n">
        <v>1</v>
      </c>
      <c r="E29" s="26">
        <f>rd_len</f>
        <v/>
      </c>
      <c r="F29" s="26">
        <f>rd_surf</f>
        <v/>
      </c>
      <c r="G29" s="32" t="n">
        <v>1</v>
      </c>
      <c r="H29" s="26">
        <f>D29*E29*F29*G29</f>
        <v/>
      </c>
      <c r="I29" s="33">
        <f>bu_D3</f>
        <v/>
      </c>
      <c r="J29" s="34" t="n"/>
      <c r="K29" s="33">
        <f>H29*IF(J29="",I29,J29)</f>
        <v/>
      </c>
      <c r="L29" s="35">
        <f>IF(AND(J29="",bq_D3&lt;&gt;""),bq_D3,"Length x surfaced width")</f>
        <v/>
      </c>
    </row>
    <row r="30">
      <c r="A30" s="19" t="inlineStr">
        <is>
          <t>E</t>
        </is>
      </c>
      <c r="B30" s="19" t="inlineStr">
        <is>
          <t>Road markings</t>
        </is>
      </c>
      <c r="C30" s="20" t="n"/>
      <c r="D30" s="20" t="n"/>
      <c r="E30" s="20" t="n"/>
      <c r="F30" s="20" t="n"/>
      <c r="G30" s="20" t="n"/>
      <c r="H30" s="20" t="n"/>
      <c r="I30" s="20" t="n"/>
      <c r="J30" s="20" t="n"/>
      <c r="K30" s="31">
        <f>SUM(K31:K34)</f>
        <v/>
      </c>
      <c r="L30" s="20" t="n"/>
    </row>
    <row r="31">
      <c r="A31" t="inlineStr">
        <is>
          <t>E1</t>
        </is>
      </c>
      <c r="B31" t="inlineStr">
        <is>
          <t>150 mm lines</t>
        </is>
      </c>
      <c r="C31" t="inlineStr">
        <is>
          <t>m</t>
        </is>
      </c>
      <c r="D31" s="25" t="n">
        <v>5</v>
      </c>
      <c r="E31" s="25" t="n">
        <v>150</v>
      </c>
      <c r="F31" s="25" t="n">
        <v>1</v>
      </c>
      <c r="G31" s="32" t="n">
        <v>1</v>
      </c>
      <c r="H31" s="26">
        <f>D31*E31*F31*G31</f>
        <v/>
      </c>
      <c r="I31" s="33">
        <f>bu_E1</f>
        <v/>
      </c>
      <c r="J31" s="34" t="n"/>
      <c r="K31" s="33">
        <f>H31*IF(J31="",I31,J31)</f>
        <v/>
      </c>
      <c r="L31" s="35">
        <f>IF(AND(J31="",bq_E1&lt;&gt;""),bq_E1,"Number of lines x length of each")</f>
        <v/>
      </c>
    </row>
    <row r="32">
      <c r="A32" t="inlineStr">
        <is>
          <t>E2</t>
        </is>
      </c>
      <c r="B32" t="inlineStr">
        <is>
          <t>200 mm lines</t>
        </is>
      </c>
      <c r="C32" t="inlineStr">
        <is>
          <t>m</t>
        </is>
      </c>
      <c r="D32" s="25" t="n">
        <v>5</v>
      </c>
      <c r="E32" s="25" t="n">
        <v>20</v>
      </c>
      <c r="F32" s="25" t="n">
        <v>1</v>
      </c>
      <c r="G32" s="32" t="n">
        <v>1</v>
      </c>
      <c r="H32" s="26">
        <f>D32*E32*F32*G32</f>
        <v/>
      </c>
      <c r="I32" s="33">
        <f>bu_E2</f>
        <v/>
      </c>
      <c r="J32" s="34" t="n"/>
      <c r="K32" s="33">
        <f>H32*IF(J32="",I32,J32)</f>
        <v/>
      </c>
      <c r="L32" s="35">
        <f>IF(AND(J32="",bq_E2&lt;&gt;""),bq_E2,"")</f>
        <v/>
      </c>
    </row>
    <row r="33">
      <c r="A33" t="inlineStr">
        <is>
          <t>E3</t>
        </is>
      </c>
      <c r="B33" t="inlineStr">
        <is>
          <t>300 mm lines</t>
        </is>
      </c>
      <c r="C33" t="inlineStr">
        <is>
          <t>m</t>
        </is>
      </c>
      <c r="D33" s="25" t="n">
        <v>5</v>
      </c>
      <c r="E33" s="25" t="n">
        <v>3</v>
      </c>
      <c r="F33" s="25" t="n">
        <v>2</v>
      </c>
      <c r="G33" s="32" t="n">
        <v>1</v>
      </c>
      <c r="H33" s="26">
        <f>D33*E33*F33*G33</f>
        <v/>
      </c>
      <c r="I33" s="33">
        <f>bu_E3</f>
        <v/>
      </c>
      <c r="J33" s="34" t="n"/>
      <c r="K33" s="33">
        <f>H33*IF(J33="",I33,J33)</f>
        <v/>
      </c>
      <c r="L33" s="35">
        <f>IF(AND(J33="",bq_E3&lt;&gt;""),bq_E3,"Number x length x 2 (both sides)")</f>
        <v/>
      </c>
    </row>
    <row r="34">
      <c r="A34" t="inlineStr">
        <is>
          <t>E4</t>
        </is>
      </c>
      <c r="B34" t="inlineStr">
        <is>
          <t>White letters and symbols</t>
        </is>
      </c>
      <c r="C34" t="inlineStr">
        <is>
          <t>m2</t>
        </is>
      </c>
      <c r="D34" s="25" t="n">
        <v>10</v>
      </c>
      <c r="E34" s="25" t="n">
        <v>1.2</v>
      </c>
      <c r="F34" s="25" t="n">
        <v>1</v>
      </c>
      <c r="G34" s="32" t="n">
        <v>1</v>
      </c>
      <c r="H34" s="26">
        <f>D34*E34*F34*G34</f>
        <v/>
      </c>
      <c r="I34" s="33">
        <f>bu_E4</f>
        <v/>
      </c>
      <c r="J34" s="34" t="n"/>
      <c r="K34" s="33">
        <f>H34*IF(J34="",I34,J34)</f>
        <v/>
      </c>
      <c r="L34" s="35">
        <f>IF(AND(J34="",bq_E4&lt;&gt;""),bq_E4,"Number x area each")</f>
        <v/>
      </c>
    </row>
    <row r="35">
      <c r="A35" s="19" t="inlineStr">
        <is>
          <t>F</t>
        </is>
      </c>
      <c r="B35" s="19" t="inlineStr">
        <is>
          <t>Setting out and signs</t>
        </is>
      </c>
      <c r="C35" s="20" t="n"/>
      <c r="D35" s="20" t="n"/>
      <c r="E35" s="20" t="n"/>
      <c r="F35" s="20" t="n"/>
      <c r="G35" s="20" t="n"/>
      <c r="H35" s="20" t="n"/>
      <c r="I35" s="20" t="n"/>
      <c r="J35" s="20" t="n"/>
      <c r="K35" s="31">
        <f>SUM(K36:K39)</f>
        <v/>
      </c>
      <c r="L35" s="20" t="n"/>
    </row>
    <row r="36">
      <c r="A36" t="inlineStr">
        <is>
          <t>F1</t>
        </is>
      </c>
      <c r="B36" t="inlineStr">
        <is>
          <t>Setting out</t>
        </is>
      </c>
      <c r="C36" t="inlineStr">
        <is>
          <t>km</t>
        </is>
      </c>
      <c r="D36" s="25" t="n">
        <v>1</v>
      </c>
      <c r="E36" s="26">
        <f>rd_len/1000</f>
        <v/>
      </c>
      <c r="F36" s="25" t="n">
        <v>1</v>
      </c>
      <c r="G36" s="32" t="n">
        <v>1</v>
      </c>
      <c r="H36" s="26">
        <f>D36*E36*F36*G36</f>
        <v/>
      </c>
      <c r="I36" s="33">
        <f>bu_F1</f>
        <v/>
      </c>
      <c r="J36" s="34" t="n"/>
      <c r="K36" s="33">
        <f>H36*IF(J36="",I36,J36)</f>
        <v/>
      </c>
      <c r="L36" s="35">
        <f>IF(AND(J36="",bq_F1&lt;&gt;""),bq_F1,"Road length in km")</f>
        <v/>
      </c>
    </row>
    <row r="37">
      <c r="A37" t="inlineStr">
        <is>
          <t>F2</t>
        </is>
      </c>
      <c r="B37" t="inlineStr">
        <is>
          <t>Stop signs</t>
        </is>
      </c>
      <c r="C37" t="inlineStr">
        <is>
          <t>No</t>
        </is>
      </c>
      <c r="D37" s="25" t="n">
        <v>3</v>
      </c>
      <c r="E37" s="25" t="n">
        <v>1</v>
      </c>
      <c r="F37" s="25" t="n">
        <v>1</v>
      </c>
      <c r="G37" s="32" t="n">
        <v>1</v>
      </c>
      <c r="H37" s="26">
        <f>D37*E37*F37*G37</f>
        <v/>
      </c>
      <c r="I37" s="33">
        <f>bu_F2</f>
        <v/>
      </c>
      <c r="J37" s="34" t="n"/>
      <c r="K37" s="33">
        <f>H37*IF(J37="",I37,J37)</f>
        <v/>
      </c>
      <c r="L37" s="35">
        <f>IF(AND(J37="",bq_F2&lt;&gt;""),bq_F2,"")</f>
        <v/>
      </c>
    </row>
    <row r="38">
      <c r="A38" t="inlineStr">
        <is>
          <t>F3</t>
        </is>
      </c>
      <c r="B38" t="inlineStr">
        <is>
          <t>Yield signs</t>
        </is>
      </c>
      <c r="C38" t="inlineStr">
        <is>
          <t>No</t>
        </is>
      </c>
      <c r="D38" s="25" t="n">
        <v>2</v>
      </c>
      <c r="E38" s="25" t="n">
        <v>1</v>
      </c>
      <c r="F38" s="25" t="n">
        <v>1</v>
      </c>
      <c r="G38" s="32" t="n">
        <v>1</v>
      </c>
      <c r="H38" s="26">
        <f>D38*E38*F38*G38</f>
        <v/>
      </c>
      <c r="I38" s="33">
        <f>bu_F3</f>
        <v/>
      </c>
      <c r="J38" s="34" t="n"/>
      <c r="K38" s="33">
        <f>H38*IF(J38="",I38,J38)</f>
        <v/>
      </c>
      <c r="L38" s="35">
        <f>IF(AND(J38="",bq_F3&lt;&gt;""),bq_F3,"")</f>
        <v/>
      </c>
    </row>
    <row r="39">
      <c r="A39" t="inlineStr">
        <is>
          <t>F4</t>
        </is>
      </c>
      <c r="B39" t="inlineStr">
        <is>
          <t>Street name signs</t>
        </is>
      </c>
      <c r="C39" t="inlineStr">
        <is>
          <t>No</t>
        </is>
      </c>
      <c r="D39" s="25" t="n">
        <v>5</v>
      </c>
      <c r="E39" s="25" t="n">
        <v>1</v>
      </c>
      <c r="F39" s="25" t="n">
        <v>1</v>
      </c>
      <c r="G39" s="32" t="n">
        <v>1</v>
      </c>
      <c r="H39" s="26">
        <f>D39*E39*F39*G39</f>
        <v/>
      </c>
      <c r="I39" s="33">
        <f>bu_F4</f>
        <v/>
      </c>
      <c r="J39" s="34" t="n"/>
      <c r="K39" s="33">
        <f>H39*IF(J39="",I39,J39)</f>
        <v/>
      </c>
      <c r="L39" s="35">
        <f>IF(AND(J39="",bq_F4&lt;&gt;""),bq_F4,"")</f>
        <v/>
      </c>
    </row>
    <row r="41">
      <c r="B41" s="38" t="inlineStr">
        <is>
          <t>Total excl VAT</t>
        </is>
      </c>
      <c r="K41" s="39">
        <f>K5+K9+K16+K26+K30+K35</f>
        <v/>
      </c>
    </row>
    <row r="42">
      <c r="B42" s="21" t="inlineStr">
        <is>
          <t>VAT</t>
        </is>
      </c>
      <c r="K42" s="33">
        <f>K41*p_vat</f>
        <v/>
      </c>
    </row>
    <row r="43">
      <c r="B43" s="38" t="inlineStr">
        <is>
          <t>Total incl VAT</t>
        </is>
      </c>
      <c r="K43" s="39">
        <f>K41+K42</f>
        <v/>
      </c>
    </row>
    <row r="45">
      <c r="B45" s="40">
        <f>IF((J29="")*(bq_D3&lt;&gt;"")+(J39="")*(bq_F4&lt;&gt;"")&gt;0,"Not complete: "&amp;((J29="")*(bq_D3&lt;&gt;"")+(J39="")*(bq_F4&lt;&gt;""))&amp;" item(s) still need a quote - see column L. The total leaves them out.","All items priced.")</f>
        <v/>
      </c>
    </row>
  </sheetData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52" customWidth="1" min="2" max="2"/>
    <col width="16" customWidth="1" min="3" max="3"/>
    <col width="50" customWidth="1" min="4" max="4"/>
  </cols>
  <sheetData>
    <row r="1" ht="30" customHeight="1">
      <c r="A1" s="14" t="inlineStr">
        <is>
          <t>Earthworks balance</t>
        </is>
      </c>
      <c r="B1" s="1" t="n"/>
      <c r="C1" s="1" t="n"/>
      <c r="D1" s="1" t="n"/>
    </row>
    <row r="2">
      <c r="A2" s="15" t="inlineStr">
        <is>
          <t>In-place volumes from Measure. The haul volume is the spoil multiplied by the bulking factor.</t>
        </is>
      </c>
    </row>
    <row r="4" ht="30" customHeight="1">
      <c r="A4" s="18" t="inlineStr"/>
      <c r="B4" s="18" t="inlineStr">
        <is>
          <t>Line</t>
        </is>
      </c>
      <c r="C4" s="18" t="inlineStr">
        <is>
          <t>m3</t>
        </is>
      </c>
      <c r="D4" s="18" t="inlineStr">
        <is>
          <t>Source</t>
        </is>
      </c>
    </row>
    <row r="5">
      <c r="B5" s="21" t="inlineStr">
        <is>
          <t>Total box cut (in place)</t>
        </is>
      </c>
      <c r="C5" s="26">
        <f>rd_boxcut</f>
        <v/>
      </c>
      <c r="D5" s="35" t="inlineStr">
        <is>
          <t>Measure B1</t>
        </is>
      </c>
    </row>
    <row r="6">
      <c r="B6" s="21" t="inlineStr">
        <is>
          <t>Less: cut to fill on site</t>
        </is>
      </c>
      <c r="C6" s="26">
        <f>-x_cut_fill</f>
        <v/>
      </c>
      <c r="D6" s="35" t="inlineStr">
        <is>
          <t>Project</t>
        </is>
      </c>
    </row>
    <row r="7">
      <c r="B7" s="21" t="inlineStr">
        <is>
          <t>Less: reused as lower selected layer</t>
        </is>
      </c>
      <c r="C7" s="26">
        <f>-rd_lsel_vol</f>
        <v/>
      </c>
      <c r="D7" s="35" t="inlineStr">
        <is>
          <t>Measure C3</t>
        </is>
      </c>
    </row>
    <row r="8">
      <c r="B8" s="21" t="inlineStr">
        <is>
          <t>Less: reused as upper selected layer</t>
        </is>
      </c>
      <c r="C8" s="26">
        <f>-rd_usel_vol</f>
        <v/>
      </c>
      <c r="D8" s="35" t="inlineStr">
        <is>
          <t>Measure C4</t>
        </is>
      </c>
    </row>
    <row r="9">
      <c r="B9" s="38" t="inlineStr">
        <is>
          <t>Cut to spoil (in place)</t>
        </is>
      </c>
      <c r="C9" s="41">
        <f>SUM(C5:C8)</f>
        <v/>
      </c>
      <c r="D9" s="35" t="inlineStr">
        <is>
          <t>Paid as Measure B5</t>
        </is>
      </c>
    </row>
    <row r="11">
      <c r="B11" s="21" t="inlineStr">
        <is>
          <t>Bulking factor</t>
        </is>
      </c>
      <c r="C11" s="26">
        <f>x_bulk</f>
        <v/>
      </c>
      <c r="D11" s="35" t="inlineStr">
        <is>
          <t>Project</t>
        </is>
      </c>
    </row>
    <row r="12">
      <c r="B12" s="38" t="inlineStr">
        <is>
          <t>Loose volume to haul to spoil</t>
        </is>
      </c>
      <c r="C12" s="41">
        <f>MAX(C9,0)*C11</f>
        <v/>
      </c>
      <c r="D12" s="35" t="inlineStr">
        <is>
          <t>For truck loads and tip fees - costing only; not a pay quantity</t>
        </is>
      </c>
    </row>
    <row r="13">
      <c r="B13" s="21" t="inlineStr">
        <is>
          <t>Shortfall to import (if negative spoil)</t>
        </is>
      </c>
      <c r="C13" s="26">
        <f>-MIN(C9,0)</f>
        <v/>
      </c>
      <c r="D13" s="35" t="inlineStr">
        <is>
          <t>Buy-in fill if this is above zero</t>
        </is>
      </c>
    </row>
  </sheetData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6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46" customWidth="1" min="2" max="2"/>
    <col width="14" customWidth="1" min="3" max="3"/>
    <col width="14" customWidth="1" min="4" max="4"/>
    <col width="14" customWidth="1" min="5" max="5"/>
    <col width="30" customWidth="1" min="6" max="6"/>
    <col width="24" customWidth="1" min="7" max="7"/>
  </cols>
  <sheetData>
    <row r="1" ht="30" customHeight="1">
      <c r="A1" s="14" t="inlineStr">
        <is>
          <t>Rate build-ups - plant, labour and material per unit, plus profit</t>
        </is>
      </c>
      <c r="B1" s="1" t="n"/>
      <c r="C1" s="1" t="n"/>
      <c r="D1" s="1" t="n"/>
      <c r="E1" s="1" t="n"/>
      <c r="F1" s="1" t="n"/>
      <c r="G1" s="1" t="n"/>
    </row>
    <row r="2">
      <c r="A2" s="15" t="inlineStr">
        <is>
          <t>Quantity per unit x rate = cost per unit. Change any rate or output on Resources and every rate here moves.</t>
        </is>
      </c>
    </row>
    <row r="4">
      <c r="A4" s="19" t="inlineStr">
        <is>
          <t>A1</t>
        </is>
      </c>
      <c r="B4" s="19" t="inlineStr">
        <is>
          <t>Clear and grub road reserve  (per m2)</t>
        </is>
      </c>
      <c r="C4" s="20" t="n"/>
      <c r="D4" s="20" t="n"/>
      <c r="E4" s="20" t="n"/>
      <c r="F4" s="20" t="n"/>
      <c r="G4" s="20" t="n"/>
    </row>
    <row r="5" ht="30" customHeight="1">
      <c r="A5" s="18" t="inlineStr"/>
      <c r="B5" s="18" t="inlineStr">
        <is>
          <t>Component</t>
        </is>
      </c>
      <c r="C5" s="18" t="inlineStr">
        <is>
          <t>Qty per unit</t>
        </is>
      </c>
      <c r="D5" s="18" t="inlineStr">
        <is>
          <t>Rate (R)</t>
        </is>
      </c>
      <c r="E5" s="18" t="inlineStr">
        <is>
          <t>Cost (R)</t>
        </is>
      </c>
      <c r="F5" s="18" t="inlineStr"/>
      <c r="G5" s="18" t="inlineStr"/>
    </row>
    <row r="6">
      <c r="B6" s="21" t="inlineStr">
        <is>
          <t>Dozer, clear and grub</t>
        </is>
      </c>
      <c r="C6" s="42">
        <f>1/o_clear</f>
        <v/>
      </c>
      <c r="D6" s="26">
        <f>pl_dozer</f>
        <v/>
      </c>
      <c r="E6" s="26">
        <f>IF(D6="",0,C6*D6)</f>
        <v/>
      </c>
    </row>
    <row r="7">
      <c r="B7" s="38" t="inlineStr">
        <is>
          <t>Direct cost</t>
        </is>
      </c>
      <c r="E7" s="26">
        <f>SUM(E6:E6)</f>
        <v/>
      </c>
    </row>
    <row r="8">
      <c r="B8" s="21" t="inlineStr">
        <is>
          <t>Profit</t>
        </is>
      </c>
      <c r="E8" s="26">
        <f>E7*p_profit</f>
        <v/>
      </c>
    </row>
    <row r="9">
      <c r="B9" s="38" t="inlineStr">
        <is>
          <t>Rate per m2 (excl P&amp;G and VAT)</t>
        </is>
      </c>
      <c r="E9" s="39">
        <f>E7+E8</f>
        <v/>
      </c>
      <c r="F9" s="40">
        <f>""</f>
        <v/>
      </c>
    </row>
    <row r="11">
      <c r="A11" s="19" t="inlineStr">
        <is>
          <t>A2</t>
        </is>
      </c>
      <c r="B11" s="19" t="inlineStr">
        <is>
          <t>Strip topsoil and stockpile on site  (per m3)</t>
        </is>
      </c>
      <c r="C11" s="20" t="n"/>
      <c r="D11" s="20" t="n"/>
      <c r="E11" s="20" t="n"/>
      <c r="F11" s="20" t="n"/>
      <c r="G11" s="20" t="n"/>
    </row>
    <row r="12" ht="30" customHeight="1">
      <c r="A12" s="18" t="inlineStr"/>
      <c r="B12" s="18" t="inlineStr">
        <is>
          <t>Component</t>
        </is>
      </c>
      <c r="C12" s="18" t="inlineStr">
        <is>
          <t>Qty per unit</t>
        </is>
      </c>
      <c r="D12" s="18" t="inlineStr">
        <is>
          <t>Rate (R)</t>
        </is>
      </c>
      <c r="E12" s="18" t="inlineStr">
        <is>
          <t>Cost (R)</t>
        </is>
      </c>
      <c r="F12" s="18" t="inlineStr"/>
      <c r="G12" s="18" t="inlineStr"/>
    </row>
    <row r="13">
      <c r="B13" s="21" t="inlineStr">
        <is>
          <t>Grader, strip to stockpile</t>
        </is>
      </c>
      <c r="C13" s="42">
        <f>1/o_strip</f>
        <v/>
      </c>
      <c r="D13" s="26">
        <f>pl_grader</f>
        <v/>
      </c>
      <c r="E13" s="26">
        <f>IF(D13="",0,C13*D13)</f>
        <v/>
      </c>
    </row>
    <row r="14">
      <c r="B14" s="38" t="inlineStr">
        <is>
          <t>Direct cost</t>
        </is>
      </c>
      <c r="E14" s="26">
        <f>SUM(E13:E13)</f>
        <v/>
      </c>
    </row>
    <row r="15">
      <c r="B15" s="21" t="inlineStr">
        <is>
          <t>Profit</t>
        </is>
      </c>
      <c r="E15" s="26">
        <f>E14*p_profit</f>
        <v/>
      </c>
    </row>
    <row r="16">
      <c r="B16" s="38" t="inlineStr">
        <is>
          <t>Rate per m3 (excl P&amp;G and VAT)</t>
        </is>
      </c>
      <c r="E16" s="39">
        <f>E14+E15</f>
        <v/>
      </c>
      <c r="F16" s="40">
        <f>""</f>
        <v/>
      </c>
    </row>
    <row r="18">
      <c r="A18" s="19" t="inlineStr">
        <is>
          <t>A3</t>
        </is>
      </c>
      <c r="B18" s="19" t="inlineStr">
        <is>
          <t>Replace topsoil from stockpile  (per m3)</t>
        </is>
      </c>
      <c r="C18" s="20" t="n"/>
      <c r="D18" s="20" t="n"/>
      <c r="E18" s="20" t="n"/>
      <c r="F18" s="20" t="n"/>
      <c r="G18" s="20" t="n"/>
    </row>
    <row r="19" ht="30" customHeight="1">
      <c r="A19" s="18" t="inlineStr"/>
      <c r="B19" s="18" t="inlineStr">
        <is>
          <t>Component</t>
        </is>
      </c>
      <c r="C19" s="18" t="inlineStr">
        <is>
          <t>Qty per unit</t>
        </is>
      </c>
      <c r="D19" s="18" t="inlineStr">
        <is>
          <t>Rate (R)</t>
        </is>
      </c>
      <c r="E19" s="18" t="inlineStr">
        <is>
          <t>Cost (R)</t>
        </is>
      </c>
      <c r="F19" s="18" t="inlineStr"/>
      <c r="G19" s="18" t="inlineStr"/>
    </row>
    <row r="20">
      <c r="B20" s="21" t="inlineStr">
        <is>
          <t>Excavator, load</t>
        </is>
      </c>
      <c r="C20" s="42">
        <f>1/o_exc</f>
        <v/>
      </c>
      <c r="D20" s="26">
        <f>pl_excavator</f>
        <v/>
      </c>
      <c r="E20" s="26">
        <f>IF(D20="",0,C20*D20)</f>
        <v/>
      </c>
    </row>
    <row r="21">
      <c r="B21" s="21" t="inlineStr">
        <is>
          <t>Tipper, site haul</t>
        </is>
      </c>
      <c r="C21" s="42">
        <f>h_site</f>
        <v/>
      </c>
      <c r="D21" s="26">
        <f>pl_tipper</f>
        <v/>
      </c>
      <c r="E21" s="26">
        <f>IF(D21="",0,C21*D21)</f>
        <v/>
      </c>
    </row>
    <row r="22">
      <c r="B22" s="21" t="inlineStr">
        <is>
          <t>Grader, spread</t>
        </is>
      </c>
      <c r="C22" s="42">
        <f>1/o_gfill</f>
        <v/>
      </c>
      <c r="D22" s="26">
        <f>pl_grader</f>
        <v/>
      </c>
      <c r="E22" s="26">
        <f>IF(D22="",0,C22*D22)</f>
        <v/>
      </c>
    </row>
    <row r="23">
      <c r="B23" s="38" t="inlineStr">
        <is>
          <t>Direct cost</t>
        </is>
      </c>
      <c r="E23" s="26">
        <f>SUM(E20:E22)</f>
        <v/>
      </c>
    </row>
    <row r="24">
      <c r="B24" s="21" t="inlineStr">
        <is>
          <t>Profit</t>
        </is>
      </c>
      <c r="E24" s="26">
        <f>E23*p_profit</f>
        <v/>
      </c>
    </row>
    <row r="25">
      <c r="B25" s="38" t="inlineStr">
        <is>
          <t>Rate per m3 (excl P&amp;G and VAT)</t>
        </is>
      </c>
      <c r="E25" s="39">
        <f>E23+E24</f>
        <v/>
      </c>
      <c r="F25" s="40">
        <f>""</f>
        <v/>
      </c>
    </row>
    <row r="27">
      <c r="A27" s="19" t="inlineStr">
        <is>
          <t>B2</t>
        </is>
      </c>
      <c r="B27" s="19" t="inlineStr">
        <is>
          <t>Extra over for intermediate excavation  (per m3)</t>
        </is>
      </c>
      <c r="C27" s="20" t="n"/>
      <c r="D27" s="20" t="n"/>
      <c r="E27" s="20" t="n"/>
      <c r="F27" s="20" t="n"/>
      <c r="G27" s="20" t="n"/>
    </row>
    <row r="28" ht="30" customHeight="1">
      <c r="A28" s="18" t="inlineStr"/>
      <c r="B28" s="18" t="inlineStr">
        <is>
          <t>Component</t>
        </is>
      </c>
      <c r="C28" s="18" t="inlineStr">
        <is>
          <t>Qty per unit</t>
        </is>
      </c>
      <c r="D28" s="18" t="inlineStr">
        <is>
          <t>Rate (R)</t>
        </is>
      </c>
      <c r="E28" s="18" t="inlineStr">
        <is>
          <t>Cost (R)</t>
        </is>
      </c>
      <c r="F28" s="18" t="inlineStr"/>
      <c r="G28" s="18" t="inlineStr"/>
    </row>
    <row r="29">
      <c r="B29" s="21" t="inlineStr">
        <is>
          <t>Dozer, rip intermediate</t>
        </is>
      </c>
      <c r="C29" s="42">
        <f>1/o_rip</f>
        <v/>
      </c>
      <c r="D29" s="26">
        <f>pl_dozer</f>
        <v/>
      </c>
      <c r="E29" s="26">
        <f>IF(D29="",0,C29*D29)</f>
        <v/>
      </c>
    </row>
    <row r="30">
      <c r="B30" s="38" t="inlineStr">
        <is>
          <t>Direct cost</t>
        </is>
      </c>
      <c r="E30" s="26">
        <f>SUM(E29:E29)</f>
        <v/>
      </c>
    </row>
    <row r="31">
      <c r="B31" s="21" t="inlineStr">
        <is>
          <t>Profit</t>
        </is>
      </c>
      <c r="E31" s="26">
        <f>E30*p_profit</f>
        <v/>
      </c>
    </row>
    <row r="32">
      <c r="B32" s="38" t="inlineStr">
        <is>
          <t>Rate per m3 (excl P&amp;G and VAT)</t>
        </is>
      </c>
      <c r="E32" s="39">
        <f>E30+E31</f>
        <v/>
      </c>
      <c r="F32" s="40">
        <f>""</f>
        <v/>
      </c>
    </row>
    <row r="34">
      <c r="A34" s="19" t="inlineStr">
        <is>
          <t>B3</t>
        </is>
      </c>
      <c r="B34" s="19" t="inlineStr">
        <is>
          <t>Extra over for hard rock excavation  (per m3)</t>
        </is>
      </c>
      <c r="C34" s="20" t="n"/>
      <c r="D34" s="20" t="n"/>
      <c r="E34" s="20" t="n"/>
      <c r="F34" s="20" t="n"/>
      <c r="G34" s="20" t="n"/>
    </row>
    <row r="35" ht="30" customHeight="1">
      <c r="A35" s="18" t="inlineStr"/>
      <c r="B35" s="18" t="inlineStr">
        <is>
          <t>Component</t>
        </is>
      </c>
      <c r="C35" s="18" t="inlineStr">
        <is>
          <t>Qty per unit</t>
        </is>
      </c>
      <c r="D35" s="18" t="inlineStr">
        <is>
          <t>Rate (R)</t>
        </is>
      </c>
      <c r="E35" s="18" t="inlineStr">
        <is>
          <t>Cost (R)</t>
        </is>
      </c>
      <c r="F35" s="18" t="inlineStr"/>
      <c r="G35" s="18" t="inlineStr"/>
    </row>
    <row r="36">
      <c r="B36" s="21" t="inlineStr">
        <is>
          <t>Excavator, hard rock</t>
        </is>
      </c>
      <c r="C36" s="42">
        <f>1/o_rock</f>
        <v/>
      </c>
      <c r="D36" s="26">
        <f>pl_excavator</f>
        <v/>
      </c>
      <c r="E36" s="26">
        <f>IF(D36="",0,C36*D36)</f>
        <v/>
      </c>
    </row>
    <row r="37">
      <c r="B37" s="21" t="inlineStr">
        <is>
          <t>Compressor and jackhammer</t>
        </is>
      </c>
      <c r="C37" s="42">
        <f>1/o_rock</f>
        <v/>
      </c>
      <c r="D37" s="26">
        <f>pl_jack</f>
        <v/>
      </c>
      <c r="E37" s="26">
        <f>IF(D37="",0,C37*D37)</f>
        <v/>
      </c>
    </row>
    <row r="38">
      <c r="B38" s="21" t="inlineStr">
        <is>
          <t>Labourer on jackhammer</t>
        </is>
      </c>
      <c r="C38" s="42">
        <f>1/o_rock</f>
        <v/>
      </c>
      <c r="D38" s="26">
        <f>lb_labourer</f>
        <v/>
      </c>
      <c r="E38" s="26">
        <f>IF(D38="",0,C38*D38)</f>
        <v/>
      </c>
    </row>
    <row r="39">
      <c r="B39" s="21" t="inlineStr">
        <is>
          <t>Less: normal excavation</t>
        </is>
      </c>
      <c r="C39" s="42">
        <f>-1/o_exc</f>
        <v/>
      </c>
      <c r="D39" s="26">
        <f>pl_excavator</f>
        <v/>
      </c>
      <c r="E39" s="26">
        <f>IF(D39="",0,C39*D39)</f>
        <v/>
      </c>
    </row>
    <row r="40">
      <c r="B40" s="38" t="inlineStr">
        <is>
          <t>Direct cost</t>
        </is>
      </c>
      <c r="E40" s="26">
        <f>SUM(E36:E39)</f>
        <v/>
      </c>
    </row>
    <row r="41">
      <c r="B41" s="21" t="inlineStr">
        <is>
          <t>Profit</t>
        </is>
      </c>
      <c r="E41" s="26">
        <f>E40*p_profit</f>
        <v/>
      </c>
    </row>
    <row r="42">
      <c r="B42" s="38" t="inlineStr">
        <is>
          <t>Rate per m3 (excl P&amp;G and VAT)</t>
        </is>
      </c>
      <c r="E42" s="39">
        <f>E40+E41</f>
        <v/>
      </c>
      <c r="F42" s="40">
        <f>""</f>
        <v/>
      </c>
    </row>
    <row r="44">
      <c r="A44" s="19" t="inlineStr">
        <is>
          <t>B4</t>
        </is>
      </c>
      <c r="B44" s="19" t="inlineStr">
        <is>
          <t>Cut to fill  (per m3)</t>
        </is>
      </c>
      <c r="C44" s="20" t="n"/>
      <c r="D44" s="20" t="n"/>
      <c r="E44" s="20" t="n"/>
      <c r="F44" s="20" t="n"/>
      <c r="G44" s="20" t="n"/>
    </row>
    <row r="45" ht="30" customHeight="1">
      <c r="A45" s="18" t="inlineStr"/>
      <c r="B45" s="18" t="inlineStr">
        <is>
          <t>Component</t>
        </is>
      </c>
      <c r="C45" s="18" t="inlineStr">
        <is>
          <t>Qty per unit</t>
        </is>
      </c>
      <c r="D45" s="18" t="inlineStr">
        <is>
          <t>Rate (R)</t>
        </is>
      </c>
      <c r="E45" s="18" t="inlineStr">
        <is>
          <t>Cost (R)</t>
        </is>
      </c>
      <c r="F45" s="18" t="inlineStr"/>
      <c r="G45" s="18" t="inlineStr"/>
    </row>
    <row r="46">
      <c r="B46" s="21" t="inlineStr">
        <is>
          <t>Excavator, load</t>
        </is>
      </c>
      <c r="C46" s="42">
        <f>1/o_exc</f>
        <v/>
      </c>
      <c r="D46" s="26">
        <f>pl_excavator</f>
        <v/>
      </c>
      <c r="E46" s="26">
        <f>IF(D46="",0,C46*D46)</f>
        <v/>
      </c>
    </row>
    <row r="47">
      <c r="B47" s="21" t="inlineStr">
        <is>
          <t>Tipper, site haul</t>
        </is>
      </c>
      <c r="C47" s="42">
        <f>h_site</f>
        <v/>
      </c>
      <c r="D47" s="26">
        <f>pl_tipper</f>
        <v/>
      </c>
      <c r="E47" s="26">
        <f>IF(D47="",0,C47*D47)</f>
        <v/>
      </c>
    </row>
    <row r="48">
      <c r="B48" s="21" t="inlineStr">
        <is>
          <t>Grader, spread</t>
        </is>
      </c>
      <c r="C48" s="42">
        <f>1/o_gfill</f>
        <v/>
      </c>
      <c r="D48" s="26">
        <f>pl_grader</f>
        <v/>
      </c>
      <c r="E48" s="26">
        <f>IF(D48="",0,C48*D48)</f>
        <v/>
      </c>
    </row>
    <row r="49">
      <c r="B49" s="21" t="inlineStr">
        <is>
          <t>Water cart</t>
        </is>
      </c>
      <c r="C49" s="42">
        <f>o_wcart</f>
        <v/>
      </c>
      <c r="D49" s="26">
        <f>pl_watercart</f>
        <v/>
      </c>
      <c r="E49" s="26">
        <f>IF(D49="",0,C49*D49)</f>
        <v/>
      </c>
    </row>
    <row r="50">
      <c r="B50" s="21" t="inlineStr">
        <is>
          <t>Water bought</t>
        </is>
      </c>
      <c r="C50" s="42">
        <f>o_water/1000</f>
        <v/>
      </c>
      <c r="D50" s="26">
        <f>p_water</f>
        <v/>
      </c>
      <c r="E50" s="26">
        <f>IF(D50="",0,C50*D50)</f>
        <v/>
      </c>
    </row>
    <row r="51">
      <c r="B51" s="21" t="inlineStr">
        <is>
          <t>Roller, compact</t>
        </is>
      </c>
      <c r="C51" s="42">
        <f>1/o_rfill</f>
        <v/>
      </c>
      <c r="D51" s="26">
        <f>pl_roller</f>
        <v/>
      </c>
      <c r="E51" s="26">
        <f>IF(D51="",0,C51*D51)</f>
        <v/>
      </c>
    </row>
    <row r="52">
      <c r="B52" s="38" t="inlineStr">
        <is>
          <t>Direct cost</t>
        </is>
      </c>
      <c r="E52" s="26">
        <f>SUM(E46:E51)</f>
        <v/>
      </c>
    </row>
    <row r="53">
      <c r="B53" s="21" t="inlineStr">
        <is>
          <t>Profit</t>
        </is>
      </c>
      <c r="E53" s="26">
        <f>E52*p_profit</f>
        <v/>
      </c>
    </row>
    <row r="54">
      <c r="B54" s="38" t="inlineStr">
        <is>
          <t>Rate per m3 (excl P&amp;G and VAT)</t>
        </is>
      </c>
      <c r="E54" s="39">
        <f>E52+E53</f>
        <v/>
      </c>
      <c r="F54" s="40">
        <f>""</f>
        <v/>
      </c>
    </row>
    <row r="56">
      <c r="A56" s="19" t="inlineStr">
        <is>
          <t>B5</t>
        </is>
      </c>
      <c r="B56" s="19" t="inlineStr">
        <is>
          <t>Cut to spoil (in place)  (per m3)</t>
        </is>
      </c>
      <c r="C56" s="20" t="n"/>
      <c r="D56" s="20" t="n"/>
      <c r="E56" s="20" t="n"/>
      <c r="F56" s="20" t="n"/>
      <c r="G56" s="20" t="n"/>
    </row>
    <row r="57" ht="30" customHeight="1">
      <c r="A57" s="18" t="inlineStr"/>
      <c r="B57" s="18" t="inlineStr">
        <is>
          <t>Component</t>
        </is>
      </c>
      <c r="C57" s="18" t="inlineStr">
        <is>
          <t>Qty per unit</t>
        </is>
      </c>
      <c r="D57" s="18" t="inlineStr">
        <is>
          <t>Rate (R)</t>
        </is>
      </c>
      <c r="E57" s="18" t="inlineStr">
        <is>
          <t>Cost (R)</t>
        </is>
      </c>
      <c r="F57" s="18" t="inlineStr"/>
      <c r="G57" s="18" t="inlineStr"/>
    </row>
    <row r="58">
      <c r="B58" s="21" t="inlineStr">
        <is>
          <t>Excavator, load</t>
        </is>
      </c>
      <c r="C58" s="42">
        <f>1/o_exc</f>
        <v/>
      </c>
      <c r="D58" s="26">
        <f>pl_excavator</f>
        <v/>
      </c>
      <c r="E58" s="26">
        <f>IF(D58="",0,C58*D58)</f>
        <v/>
      </c>
    </row>
    <row r="59">
      <c r="B59" s="21" t="inlineStr">
        <is>
          <t>Tipper, haul to spoil</t>
        </is>
      </c>
      <c r="C59" s="42">
        <f>h_spoil</f>
        <v/>
      </c>
      <c r="D59" s="26">
        <f>pl_tipper</f>
        <v/>
      </c>
      <c r="E59" s="26">
        <f>IF(D59="",0,C59*D59)</f>
        <v/>
      </c>
    </row>
    <row r="60">
      <c r="B60" s="21" t="inlineStr">
        <is>
          <t>Grader, spread at spoil site</t>
        </is>
      </c>
      <c r="C60" s="42">
        <f>1/o_gfill</f>
        <v/>
      </c>
      <c r="D60" s="26">
        <f>pl_grader</f>
        <v/>
      </c>
      <c r="E60" s="26">
        <f>IF(D60="",0,C60*D60)</f>
        <v/>
      </c>
    </row>
    <row r="61">
      <c r="B61" s="21" t="inlineStr">
        <is>
          <t>Tip fee</t>
        </is>
      </c>
      <c r="C61" s="42">
        <f>o_insitu</f>
        <v/>
      </c>
      <c r="D61" s="26">
        <f>p_tipfee</f>
        <v/>
      </c>
      <c r="E61" s="26">
        <f>IF(D61="",0,C61*D61)</f>
        <v/>
      </c>
    </row>
    <row r="62">
      <c r="B62" s="38" t="inlineStr">
        <is>
          <t>Direct cost</t>
        </is>
      </c>
      <c r="E62" s="26">
        <f>SUM(E58:E61)</f>
        <v/>
      </c>
    </row>
    <row r="63">
      <c r="B63" s="21" t="inlineStr">
        <is>
          <t>Profit</t>
        </is>
      </c>
      <c r="E63" s="26">
        <f>E62*p_profit</f>
        <v/>
      </c>
    </row>
    <row r="64">
      <c r="B64" s="38" t="inlineStr">
        <is>
          <t>Rate per m3 (excl P&amp;G and VAT)</t>
        </is>
      </c>
      <c r="E64" s="39">
        <f>E62+E63</f>
        <v/>
      </c>
      <c r="F64" s="40">
        <f>""</f>
        <v/>
      </c>
    </row>
    <row r="66">
      <c r="A66" s="19" t="inlineStr">
        <is>
          <t>B6</t>
        </is>
      </c>
      <c r="B66" s="19" t="inlineStr">
        <is>
          <t>Remove unsuitable material  (per m3)</t>
        </is>
      </c>
      <c r="C66" s="20" t="n"/>
      <c r="D66" s="20" t="n"/>
      <c r="E66" s="20" t="n"/>
      <c r="F66" s="20" t="n"/>
      <c r="G66" s="20" t="n"/>
    </row>
    <row r="67" ht="30" customHeight="1">
      <c r="A67" s="18" t="inlineStr"/>
      <c r="B67" s="18" t="inlineStr">
        <is>
          <t>Component</t>
        </is>
      </c>
      <c r="C67" s="18" t="inlineStr">
        <is>
          <t>Qty per unit</t>
        </is>
      </c>
      <c r="D67" s="18" t="inlineStr">
        <is>
          <t>Rate (R)</t>
        </is>
      </c>
      <c r="E67" s="18" t="inlineStr">
        <is>
          <t>Cost (R)</t>
        </is>
      </c>
      <c r="F67" s="18" t="inlineStr"/>
      <c r="G67" s="18" t="inlineStr"/>
    </row>
    <row r="68">
      <c r="B68" s="21" t="inlineStr">
        <is>
          <t>Excavator, load</t>
        </is>
      </c>
      <c r="C68" s="42">
        <f>1/o_exc</f>
        <v/>
      </c>
      <c r="D68" s="26">
        <f>pl_excavator</f>
        <v/>
      </c>
      <c r="E68" s="26">
        <f>IF(D68="",0,C68*D68)</f>
        <v/>
      </c>
    </row>
    <row r="69">
      <c r="B69" s="21" t="inlineStr">
        <is>
          <t>Tipper, haul to spoil</t>
        </is>
      </c>
      <c r="C69" s="42">
        <f>h_spoil</f>
        <v/>
      </c>
      <c r="D69" s="26">
        <f>pl_tipper</f>
        <v/>
      </c>
      <c r="E69" s="26">
        <f>IF(D69="",0,C69*D69)</f>
        <v/>
      </c>
    </row>
    <row r="70">
      <c r="B70" s="21" t="inlineStr">
        <is>
          <t>Grader, spread at spoil site</t>
        </is>
      </c>
      <c r="C70" s="42">
        <f>1/o_gfill</f>
        <v/>
      </c>
      <c r="D70" s="26">
        <f>pl_grader</f>
        <v/>
      </c>
      <c r="E70" s="26">
        <f>IF(D70="",0,C70*D70)</f>
        <v/>
      </c>
    </row>
    <row r="71">
      <c r="B71" s="21" t="inlineStr">
        <is>
          <t>Tip fee</t>
        </is>
      </c>
      <c r="C71" s="42">
        <f>o_insitu</f>
        <v/>
      </c>
      <c r="D71" s="26">
        <f>p_tipfee</f>
        <v/>
      </c>
      <c r="E71" s="26">
        <f>IF(D71="",0,C71*D71)</f>
        <v/>
      </c>
    </row>
    <row r="72">
      <c r="B72" s="38" t="inlineStr">
        <is>
          <t>Direct cost</t>
        </is>
      </c>
      <c r="E72" s="26">
        <f>SUM(E68:E71)</f>
        <v/>
      </c>
    </row>
    <row r="73">
      <c r="B73" s="21" t="inlineStr">
        <is>
          <t>Profit</t>
        </is>
      </c>
      <c r="E73" s="26">
        <f>E72*p_profit</f>
        <v/>
      </c>
    </row>
    <row r="74">
      <c r="B74" s="38" t="inlineStr">
        <is>
          <t>Rate per m3 (excl P&amp;G and VAT)</t>
        </is>
      </c>
      <c r="E74" s="39">
        <f>E72+E73</f>
        <v/>
      </c>
      <c r="F74" s="40">
        <f>""</f>
        <v/>
      </c>
    </row>
    <row r="76">
      <c r="A76" s="19" t="inlineStr">
        <is>
          <t>C1</t>
        </is>
      </c>
      <c r="B76" s="19" t="inlineStr">
        <is>
          <t>Roadbed preparation and compaction  (per m3)</t>
        </is>
      </c>
      <c r="C76" s="20" t="n"/>
      <c r="D76" s="20" t="n"/>
      <c r="E76" s="20" t="n"/>
      <c r="F76" s="20" t="n"/>
      <c r="G76" s="20" t="n"/>
    </row>
    <row r="77" ht="30" customHeight="1">
      <c r="A77" s="18" t="inlineStr"/>
      <c r="B77" s="18" t="inlineStr">
        <is>
          <t>Component</t>
        </is>
      </c>
      <c r="C77" s="18" t="inlineStr">
        <is>
          <t>Qty per unit</t>
        </is>
      </c>
      <c r="D77" s="18" t="inlineStr">
        <is>
          <t>Rate (R)</t>
        </is>
      </c>
      <c r="E77" s="18" t="inlineStr">
        <is>
          <t>Cost (R)</t>
        </is>
      </c>
      <c r="F77" s="18" t="inlineStr"/>
      <c r="G77" s="18" t="inlineStr"/>
    </row>
    <row r="78">
      <c r="B78" s="21" t="inlineStr">
        <is>
          <t>Grader, spread and shape</t>
        </is>
      </c>
      <c r="C78" s="42">
        <f>1/o_ggsb</f>
        <v/>
      </c>
      <c r="D78" s="26">
        <f>pl_grader</f>
        <v/>
      </c>
      <c r="E78" s="26">
        <f>IF(D78="",0,C78*D78)</f>
        <v/>
      </c>
    </row>
    <row r="79">
      <c r="B79" s="21" t="inlineStr">
        <is>
          <t>Water cart</t>
        </is>
      </c>
      <c r="C79" s="42">
        <f>o_wcart</f>
        <v/>
      </c>
      <c r="D79" s="26">
        <f>pl_watercart</f>
        <v/>
      </c>
      <c r="E79" s="26">
        <f>IF(D79="",0,C79*D79)</f>
        <v/>
      </c>
    </row>
    <row r="80">
      <c r="B80" s="21" t="inlineStr">
        <is>
          <t>Water bought</t>
        </is>
      </c>
      <c r="C80" s="42">
        <f>o_water/1000</f>
        <v/>
      </c>
      <c r="D80" s="26">
        <f>p_water</f>
        <v/>
      </c>
      <c r="E80" s="26">
        <f>IF(D80="",0,C80*D80)</f>
        <v/>
      </c>
    </row>
    <row r="81">
      <c r="B81" s="21" t="inlineStr">
        <is>
          <t>Roller, compact</t>
        </is>
      </c>
      <c r="C81" s="42">
        <f>1/o_rgsb</f>
        <v/>
      </c>
      <c r="D81" s="26">
        <f>pl_roller</f>
        <v/>
      </c>
      <c r="E81" s="26">
        <f>IF(D81="",0,C81*D81)</f>
        <v/>
      </c>
    </row>
    <row r="82">
      <c r="B82" s="38" t="inlineStr">
        <is>
          <t>Direct cost</t>
        </is>
      </c>
      <c r="E82" s="26">
        <f>SUM(E78:E81)</f>
        <v/>
      </c>
    </row>
    <row r="83">
      <c r="B83" s="21" t="inlineStr">
        <is>
          <t>Profit</t>
        </is>
      </c>
      <c r="E83" s="26">
        <f>E82*p_profit</f>
        <v/>
      </c>
    </row>
    <row r="84">
      <c r="B84" s="38" t="inlineStr">
        <is>
          <t>Rate per m3 (excl P&amp;G and VAT)</t>
        </is>
      </c>
      <c r="E84" s="39">
        <f>E82+E83</f>
        <v/>
      </c>
      <c r="F84" s="40">
        <f>""</f>
        <v/>
      </c>
    </row>
    <row r="86">
      <c r="A86" s="19" t="inlineStr">
        <is>
          <t>C2</t>
        </is>
      </c>
      <c r="B86" s="19" t="inlineStr">
        <is>
          <t>Rock fill to replace unsuitable material (commercial)  (per m3)</t>
        </is>
      </c>
      <c r="C86" s="20" t="n"/>
      <c r="D86" s="20" t="n"/>
      <c r="E86" s="20" t="n"/>
      <c r="F86" s="20" t="n"/>
      <c r="G86" s="20" t="n"/>
    </row>
    <row r="87" ht="30" customHeight="1">
      <c r="A87" s="18" t="inlineStr"/>
      <c r="B87" s="18" t="inlineStr">
        <is>
          <t>Component</t>
        </is>
      </c>
      <c r="C87" s="18" t="inlineStr">
        <is>
          <t>Qty per unit</t>
        </is>
      </c>
      <c r="D87" s="18" t="inlineStr">
        <is>
          <t>Rate (R)</t>
        </is>
      </c>
      <c r="E87" s="18" t="inlineStr">
        <is>
          <t>Cost (R)</t>
        </is>
      </c>
      <c r="F87" s="18" t="inlineStr"/>
      <c r="G87" s="18" t="inlineStr"/>
    </row>
    <row r="88">
      <c r="B88" s="21" t="inlineStr">
        <is>
          <t>Rock fill, collected</t>
        </is>
      </c>
      <c r="C88" s="42">
        <f>o_rockden</f>
        <v/>
      </c>
      <c r="D88" s="26">
        <f>mt_rock</f>
        <v/>
      </c>
      <c r="E88" s="26">
        <f>IF(D88="",0,C88*D88)</f>
        <v/>
      </c>
    </row>
    <row r="89">
      <c r="B89" s="21" t="inlineStr">
        <is>
          <t>Tipper, quarry to site</t>
        </is>
      </c>
      <c r="C89" s="42">
        <f>h_quarry*q_rock</f>
        <v/>
      </c>
      <c r="D89" s="26">
        <f>pl_tipper</f>
        <v/>
      </c>
      <c r="E89" s="26">
        <f>IF(D89="",0,C89*D89)</f>
        <v/>
      </c>
    </row>
    <row r="90">
      <c r="B90" s="21" t="inlineStr">
        <is>
          <t>Grader, spread</t>
        </is>
      </c>
      <c r="C90" s="42">
        <f>1/o_gfill</f>
        <v/>
      </c>
      <c r="D90" s="26">
        <f>pl_grader</f>
        <v/>
      </c>
      <c r="E90" s="26">
        <f>IF(D90="",0,C90*D90)</f>
        <v/>
      </c>
    </row>
    <row r="91">
      <c r="B91" s="21" t="inlineStr">
        <is>
          <t>Roller, compact</t>
        </is>
      </c>
      <c r="C91" s="42">
        <f>1/o_rfill</f>
        <v/>
      </c>
      <c r="D91" s="26">
        <f>pl_roller</f>
        <v/>
      </c>
      <c r="E91" s="26">
        <f>IF(D91="",0,C91*D91)</f>
        <v/>
      </c>
    </row>
    <row r="92">
      <c r="B92" s="38" t="inlineStr">
        <is>
          <t>Direct cost</t>
        </is>
      </c>
      <c r="E92" s="26">
        <f>SUM(E88:E91)</f>
        <v/>
      </c>
    </row>
    <row r="93">
      <c r="B93" s="21" t="inlineStr">
        <is>
          <t>Profit</t>
        </is>
      </c>
      <c r="E93" s="26">
        <f>E92*p_profit</f>
        <v/>
      </c>
    </row>
    <row r="94">
      <c r="B94" s="38" t="inlineStr">
        <is>
          <t>Rate per m3 (excl P&amp;G and VAT)</t>
        </is>
      </c>
      <c r="E94" s="39">
        <f>E92+E93</f>
        <v/>
      </c>
      <c r="F94" s="40">
        <f>""</f>
        <v/>
      </c>
    </row>
    <row r="96">
      <c r="A96" s="19" t="inlineStr">
        <is>
          <t>C3</t>
        </is>
      </c>
      <c r="B96" s="19" t="inlineStr">
        <is>
          <t>Lower selected layer (from site)  (per m3)</t>
        </is>
      </c>
      <c r="C96" s="20" t="n"/>
      <c r="D96" s="20" t="n"/>
      <c r="E96" s="20" t="n"/>
      <c r="F96" s="20" t="n"/>
      <c r="G96" s="20" t="n"/>
    </row>
    <row r="97" ht="30" customHeight="1">
      <c r="A97" s="18" t="inlineStr"/>
      <c r="B97" s="18" t="inlineStr">
        <is>
          <t>Component</t>
        </is>
      </c>
      <c r="C97" s="18" t="inlineStr">
        <is>
          <t>Qty per unit</t>
        </is>
      </c>
      <c r="D97" s="18" t="inlineStr">
        <is>
          <t>Rate (R)</t>
        </is>
      </c>
      <c r="E97" s="18" t="inlineStr">
        <is>
          <t>Cost (R)</t>
        </is>
      </c>
      <c r="F97" s="18" t="inlineStr"/>
      <c r="G97" s="18" t="inlineStr"/>
    </row>
    <row r="98">
      <c r="B98" s="21" t="inlineStr">
        <is>
          <t>Excavator, load</t>
        </is>
      </c>
      <c r="C98" s="42">
        <f>1/o_exc</f>
        <v/>
      </c>
      <c r="D98" s="26">
        <f>pl_excavator</f>
        <v/>
      </c>
      <c r="E98" s="26">
        <f>IF(D98="",0,C98*D98)</f>
        <v/>
      </c>
    </row>
    <row r="99">
      <c r="B99" s="21" t="inlineStr">
        <is>
          <t>Tipper, site haul</t>
        </is>
      </c>
      <c r="C99" s="42">
        <f>h_site</f>
        <v/>
      </c>
      <c r="D99" s="26">
        <f>pl_tipper</f>
        <v/>
      </c>
      <c r="E99" s="26">
        <f>IF(D99="",0,C99*D99)</f>
        <v/>
      </c>
    </row>
    <row r="100">
      <c r="B100" s="21" t="inlineStr">
        <is>
          <t>Grader, spread and shape</t>
        </is>
      </c>
      <c r="C100" s="42">
        <f>1/o_ggsb</f>
        <v/>
      </c>
      <c r="D100" s="26">
        <f>pl_grader</f>
        <v/>
      </c>
      <c r="E100" s="26">
        <f>IF(D100="",0,C100*D100)</f>
        <v/>
      </c>
    </row>
    <row r="101">
      <c r="B101" s="21" t="inlineStr">
        <is>
          <t>Water cart</t>
        </is>
      </c>
      <c r="C101" s="42">
        <f>o_wcart</f>
        <v/>
      </c>
      <c r="D101" s="26">
        <f>pl_watercart</f>
        <v/>
      </c>
      <c r="E101" s="26">
        <f>IF(D101="",0,C101*D101)</f>
        <v/>
      </c>
    </row>
    <row r="102">
      <c r="B102" s="21" t="inlineStr">
        <is>
          <t>Water bought</t>
        </is>
      </c>
      <c r="C102" s="42">
        <f>o_water/1000</f>
        <v/>
      </c>
      <c r="D102" s="26">
        <f>p_water</f>
        <v/>
      </c>
      <c r="E102" s="26">
        <f>IF(D102="",0,C102*D102)</f>
        <v/>
      </c>
    </row>
    <row r="103">
      <c r="B103" s="21" t="inlineStr">
        <is>
          <t>Roller, compact</t>
        </is>
      </c>
      <c r="C103" s="42">
        <f>1/o_rgsb</f>
        <v/>
      </c>
      <c r="D103" s="26">
        <f>pl_roller</f>
        <v/>
      </c>
      <c r="E103" s="26">
        <f>IF(D103="",0,C103*D103)</f>
        <v/>
      </c>
    </row>
    <row r="104">
      <c r="B104" s="38" t="inlineStr">
        <is>
          <t>Direct cost</t>
        </is>
      </c>
      <c r="E104" s="26">
        <f>SUM(E98:E103)</f>
        <v/>
      </c>
    </row>
    <row r="105">
      <c r="B105" s="21" t="inlineStr">
        <is>
          <t>Profit</t>
        </is>
      </c>
      <c r="E105" s="26">
        <f>E104*p_profit</f>
        <v/>
      </c>
    </row>
    <row r="106">
      <c r="B106" s="38" t="inlineStr">
        <is>
          <t>Rate per m3 (excl P&amp;G and VAT)</t>
        </is>
      </c>
      <c r="E106" s="39">
        <f>E104+E105</f>
        <v/>
      </c>
      <c r="F106" s="40">
        <f>""</f>
        <v/>
      </c>
    </row>
    <row r="108">
      <c r="A108" s="19" t="inlineStr">
        <is>
          <t>C4</t>
        </is>
      </c>
      <c r="B108" s="19" t="inlineStr">
        <is>
          <t>Upper selected layer (from site)  (per m3)</t>
        </is>
      </c>
      <c r="C108" s="20" t="n"/>
      <c r="D108" s="20" t="n"/>
      <c r="E108" s="20" t="n"/>
      <c r="F108" s="20" t="n"/>
      <c r="G108" s="20" t="n"/>
    </row>
    <row r="109" ht="30" customHeight="1">
      <c r="A109" s="18" t="inlineStr"/>
      <c r="B109" s="18" t="inlineStr">
        <is>
          <t>Component</t>
        </is>
      </c>
      <c r="C109" s="18" t="inlineStr">
        <is>
          <t>Qty per unit</t>
        </is>
      </c>
      <c r="D109" s="18" t="inlineStr">
        <is>
          <t>Rate (R)</t>
        </is>
      </c>
      <c r="E109" s="18" t="inlineStr">
        <is>
          <t>Cost (R)</t>
        </is>
      </c>
      <c r="F109" s="18" t="inlineStr"/>
      <c r="G109" s="18" t="inlineStr"/>
    </row>
    <row r="110">
      <c r="B110" s="21" t="inlineStr">
        <is>
          <t>Excavator, load</t>
        </is>
      </c>
      <c r="C110" s="42">
        <f>1/o_exc</f>
        <v/>
      </c>
      <c r="D110" s="26">
        <f>pl_excavator</f>
        <v/>
      </c>
      <c r="E110" s="26">
        <f>IF(D110="",0,C110*D110)</f>
        <v/>
      </c>
    </row>
    <row r="111">
      <c r="B111" s="21" t="inlineStr">
        <is>
          <t>Tipper, site haul</t>
        </is>
      </c>
      <c r="C111" s="42">
        <f>h_site</f>
        <v/>
      </c>
      <c r="D111" s="26">
        <f>pl_tipper</f>
        <v/>
      </c>
      <c r="E111" s="26">
        <f>IF(D111="",0,C111*D111)</f>
        <v/>
      </c>
    </row>
    <row r="112">
      <c r="B112" s="21" t="inlineStr">
        <is>
          <t>Grader, spread and shape</t>
        </is>
      </c>
      <c r="C112" s="42">
        <f>1/o_ggsb</f>
        <v/>
      </c>
      <c r="D112" s="26">
        <f>pl_grader</f>
        <v/>
      </c>
      <c r="E112" s="26">
        <f>IF(D112="",0,C112*D112)</f>
        <v/>
      </c>
    </row>
    <row r="113">
      <c r="B113" s="21" t="inlineStr">
        <is>
          <t>Water cart</t>
        </is>
      </c>
      <c r="C113" s="42">
        <f>o_wcart</f>
        <v/>
      </c>
      <c r="D113" s="26">
        <f>pl_watercart</f>
        <v/>
      </c>
      <c r="E113" s="26">
        <f>IF(D113="",0,C113*D113)</f>
        <v/>
      </c>
    </row>
    <row r="114">
      <c r="B114" s="21" t="inlineStr">
        <is>
          <t>Water bought</t>
        </is>
      </c>
      <c r="C114" s="42">
        <f>o_water/1000</f>
        <v/>
      </c>
      <c r="D114" s="26">
        <f>p_water</f>
        <v/>
      </c>
      <c r="E114" s="26">
        <f>IF(D114="",0,C114*D114)</f>
        <v/>
      </c>
    </row>
    <row r="115">
      <c r="B115" s="21" t="inlineStr">
        <is>
          <t>Roller, compact</t>
        </is>
      </c>
      <c r="C115" s="42">
        <f>1/o_rgsb</f>
        <v/>
      </c>
      <c r="D115" s="26">
        <f>pl_roller</f>
        <v/>
      </c>
      <c r="E115" s="26">
        <f>IF(D115="",0,C115*D115)</f>
        <v/>
      </c>
    </row>
    <row r="116">
      <c r="B116" s="38" t="inlineStr">
        <is>
          <t>Direct cost</t>
        </is>
      </c>
      <c r="E116" s="26">
        <f>SUM(E110:E115)</f>
        <v/>
      </c>
    </row>
    <row r="117">
      <c r="B117" s="21" t="inlineStr">
        <is>
          <t>Profit</t>
        </is>
      </c>
      <c r="E117" s="26">
        <f>E116*p_profit</f>
        <v/>
      </c>
    </row>
    <row r="118">
      <c r="B118" s="38" t="inlineStr">
        <is>
          <t>Rate per m3 (excl P&amp;G and VAT)</t>
        </is>
      </c>
      <c r="E118" s="39">
        <f>E116+E117</f>
        <v/>
      </c>
      <c r="F118" s="40">
        <f>""</f>
        <v/>
      </c>
    </row>
    <row r="120">
      <c r="A120" s="19" t="inlineStr">
        <is>
          <t>C5</t>
        </is>
      </c>
      <c r="B120" s="19" t="inlineStr">
        <is>
          <t>Remove oversize material from selected layers  (per m3)</t>
        </is>
      </c>
      <c r="C120" s="20" t="n"/>
      <c r="D120" s="20" t="n"/>
      <c r="E120" s="20" t="n"/>
      <c r="F120" s="20" t="n"/>
      <c r="G120" s="20" t="n"/>
    </row>
    <row r="121" ht="30" customHeight="1">
      <c r="A121" s="18" t="inlineStr"/>
      <c r="B121" s="18" t="inlineStr">
        <is>
          <t>Component</t>
        </is>
      </c>
      <c r="C121" s="18" t="inlineStr">
        <is>
          <t>Qty per unit</t>
        </is>
      </c>
      <c r="D121" s="18" t="inlineStr">
        <is>
          <t>Rate (R)</t>
        </is>
      </c>
      <c r="E121" s="18" t="inlineStr">
        <is>
          <t>Cost (R)</t>
        </is>
      </c>
      <c r="F121" s="18" t="inlineStr"/>
      <c r="G121" s="18" t="inlineStr"/>
    </row>
    <row r="122">
      <c r="B122" s="21" t="inlineStr">
        <is>
          <t>Excavator, load</t>
        </is>
      </c>
      <c r="C122" s="42">
        <f>1/o_exc</f>
        <v/>
      </c>
      <c r="D122" s="26">
        <f>pl_excavator</f>
        <v/>
      </c>
      <c r="E122" s="26">
        <f>IF(D122="",0,C122*D122)</f>
        <v/>
      </c>
    </row>
    <row r="123">
      <c r="B123" s="21" t="inlineStr">
        <is>
          <t>Tipper, haul to spoil</t>
        </is>
      </c>
      <c r="C123" s="42">
        <f>h_spoil</f>
        <v/>
      </c>
      <c r="D123" s="26">
        <f>pl_tipper</f>
        <v/>
      </c>
      <c r="E123" s="26">
        <f>IF(D123="",0,C123*D123)</f>
        <v/>
      </c>
    </row>
    <row r="124">
      <c r="B124" s="38" t="inlineStr">
        <is>
          <t>Direct cost</t>
        </is>
      </c>
      <c r="E124" s="26">
        <f>SUM(E122:E123)</f>
        <v/>
      </c>
    </row>
    <row r="125">
      <c r="B125" s="21" t="inlineStr">
        <is>
          <t>Profit</t>
        </is>
      </c>
      <c r="E125" s="26">
        <f>E124*p_profit</f>
        <v/>
      </c>
    </row>
    <row r="126">
      <c r="B126" s="38" t="inlineStr">
        <is>
          <t>Rate per m3 (excl P&amp;G and VAT)</t>
        </is>
      </c>
      <c r="E126" s="39">
        <f>E124+E125</f>
        <v/>
      </c>
      <c r="F126" s="40">
        <f>""</f>
        <v/>
      </c>
    </row>
    <row r="128">
      <c r="A128" s="19" t="inlineStr">
        <is>
          <t>C6</t>
        </is>
      </c>
      <c r="B128" s="19" t="inlineStr">
        <is>
          <t>Subbase (commercial)  (per m3)</t>
        </is>
      </c>
      <c r="C128" s="20" t="n"/>
      <c r="D128" s="20" t="n"/>
      <c r="E128" s="20" t="n"/>
      <c r="F128" s="20" t="n"/>
      <c r="G128" s="20" t="n"/>
    </row>
    <row r="129" ht="30" customHeight="1">
      <c r="A129" s="18" t="inlineStr"/>
      <c r="B129" s="18" t="inlineStr">
        <is>
          <t>Component</t>
        </is>
      </c>
      <c r="C129" s="18" t="inlineStr">
        <is>
          <t>Qty per unit</t>
        </is>
      </c>
      <c r="D129" s="18" t="inlineStr">
        <is>
          <t>Rate (R)</t>
        </is>
      </c>
      <c r="E129" s="18" t="inlineStr">
        <is>
          <t>Cost (R)</t>
        </is>
      </c>
      <c r="F129" s="18" t="inlineStr"/>
      <c r="G129" s="18" t="inlineStr"/>
    </row>
    <row r="130">
      <c r="B130" s="21" t="inlineStr">
        <is>
          <t>G5 material, collected</t>
        </is>
      </c>
      <c r="C130" s="42">
        <f>q_layer</f>
        <v/>
      </c>
      <c r="D130" s="26">
        <f>mt_g5</f>
        <v/>
      </c>
      <c r="E130" s="26">
        <f>IF(D130="",0,C130*D130)</f>
        <v/>
      </c>
    </row>
    <row r="131">
      <c r="B131" s="21" t="inlineStr">
        <is>
          <t>Tipper, quarry to site</t>
        </is>
      </c>
      <c r="C131" s="42">
        <f>h_quarry*q_layer</f>
        <v/>
      </c>
      <c r="D131" s="26">
        <f>pl_tipper</f>
        <v/>
      </c>
      <c r="E131" s="26">
        <f>IF(D131="",0,C131*D131)</f>
        <v/>
      </c>
    </row>
    <row r="132">
      <c r="B132" s="21" t="inlineStr">
        <is>
          <t>Grader, spread and shape</t>
        </is>
      </c>
      <c r="C132" s="42">
        <f>1/o_ggsb</f>
        <v/>
      </c>
      <c r="D132" s="26">
        <f>pl_grader</f>
        <v/>
      </c>
      <c r="E132" s="26">
        <f>IF(D132="",0,C132*D132)</f>
        <v/>
      </c>
    </row>
    <row r="133">
      <c r="B133" s="21" t="inlineStr">
        <is>
          <t>Water cart</t>
        </is>
      </c>
      <c r="C133" s="42">
        <f>o_wcart</f>
        <v/>
      </c>
      <c r="D133" s="26">
        <f>pl_watercart</f>
        <v/>
      </c>
      <c r="E133" s="26">
        <f>IF(D133="",0,C133*D133)</f>
        <v/>
      </c>
    </row>
    <row r="134">
      <c r="B134" s="21" t="inlineStr">
        <is>
          <t>Water bought</t>
        </is>
      </c>
      <c r="C134" s="42">
        <f>o_water/1000</f>
        <v/>
      </c>
      <c r="D134" s="26">
        <f>p_water</f>
        <v/>
      </c>
      <c r="E134" s="26">
        <f>IF(D134="",0,C134*D134)</f>
        <v/>
      </c>
    </row>
    <row r="135">
      <c r="B135" s="21" t="inlineStr">
        <is>
          <t>Roller, compact</t>
        </is>
      </c>
      <c r="C135" s="42">
        <f>1/o_rgsb</f>
        <v/>
      </c>
      <c r="D135" s="26">
        <f>pl_roller</f>
        <v/>
      </c>
      <c r="E135" s="26">
        <f>IF(D135="",0,C135*D135)</f>
        <v/>
      </c>
    </row>
    <row r="136">
      <c r="B136" s="38" t="inlineStr">
        <is>
          <t>Direct cost</t>
        </is>
      </c>
      <c r="E136" s="26">
        <f>SUM(E130:E135)</f>
        <v/>
      </c>
    </row>
    <row r="137">
      <c r="B137" s="21" t="inlineStr">
        <is>
          <t>Profit</t>
        </is>
      </c>
      <c r="E137" s="26">
        <f>E136*p_profit</f>
        <v/>
      </c>
    </row>
    <row r="138">
      <c r="B138" s="38" t="inlineStr">
        <is>
          <t>Rate per m3 (excl P&amp;G and VAT)</t>
        </is>
      </c>
      <c r="E138" s="39">
        <f>E136+E137</f>
        <v/>
      </c>
      <c r="F138" s="40">
        <f>""</f>
        <v/>
      </c>
    </row>
    <row r="140">
      <c r="A140" s="19" t="inlineStr">
        <is>
          <t>C7</t>
        </is>
      </c>
      <c r="B140" s="19" t="inlineStr">
        <is>
          <t>Stabilise subbase  (per m3)</t>
        </is>
      </c>
      <c r="C140" s="20" t="n"/>
      <c r="D140" s="20" t="n"/>
      <c r="E140" s="20" t="n"/>
      <c r="F140" s="20" t="n"/>
      <c r="G140" s="20" t="n"/>
    </row>
    <row r="141" ht="30" customHeight="1">
      <c r="A141" s="18" t="inlineStr"/>
      <c r="B141" s="18" t="inlineStr">
        <is>
          <t>Component</t>
        </is>
      </c>
      <c r="C141" s="18" t="inlineStr">
        <is>
          <t>Qty per unit</t>
        </is>
      </c>
      <c r="D141" s="18" t="inlineStr">
        <is>
          <t>Rate (R)</t>
        </is>
      </c>
      <c r="E141" s="18" t="inlineStr">
        <is>
          <t>Cost (R)</t>
        </is>
      </c>
      <c r="F141" s="18" t="inlineStr"/>
      <c r="G141" s="18" t="inlineStr"/>
    </row>
    <row r="142">
      <c r="B142" s="21" t="inlineStr">
        <is>
          <t>Rotary mixer</t>
        </is>
      </c>
      <c r="C142" s="42">
        <f>1/o_mix</f>
        <v/>
      </c>
      <c r="D142" s="26">
        <f>pl_mixer</f>
        <v/>
      </c>
      <c r="E142" s="26">
        <f>IF(D142="",0,C142*D142)</f>
        <v/>
      </c>
    </row>
    <row r="143">
      <c r="B143" s="21" t="inlineStr">
        <is>
          <t>Grader, trim</t>
        </is>
      </c>
      <c r="C143" s="42">
        <f>1/o_trim</f>
        <v/>
      </c>
      <c r="D143" s="26">
        <f>pl_grader</f>
        <v/>
      </c>
      <c r="E143" s="26">
        <f>IF(D143="",0,C143*D143)</f>
        <v/>
      </c>
    </row>
    <row r="144">
      <c r="B144" s="21" t="inlineStr">
        <is>
          <t>Water cart</t>
        </is>
      </c>
      <c r="C144" s="42">
        <f>o_wcart</f>
        <v/>
      </c>
      <c r="D144" s="26">
        <f>pl_watercart</f>
        <v/>
      </c>
      <c r="E144" s="26">
        <f>IF(D144="",0,C144*D144)</f>
        <v/>
      </c>
    </row>
    <row r="145">
      <c r="B145" s="21" t="inlineStr">
        <is>
          <t>Water bought</t>
        </is>
      </c>
      <c r="C145" s="42">
        <f>o_water/1000</f>
        <v/>
      </c>
      <c r="D145" s="26">
        <f>p_water</f>
        <v/>
      </c>
      <c r="E145" s="26">
        <f>IF(D145="",0,C145*D145)</f>
        <v/>
      </c>
    </row>
    <row r="146">
      <c r="B146" s="21" t="inlineStr">
        <is>
          <t>Roller, compact</t>
        </is>
      </c>
      <c r="C146" s="42">
        <f>1/o_rgsb</f>
        <v/>
      </c>
      <c r="D146" s="26">
        <f>pl_roller</f>
        <v/>
      </c>
      <c r="E146" s="26">
        <f>IF(D146="",0,C146*D146)</f>
        <v/>
      </c>
    </row>
    <row r="147">
      <c r="B147" s="38" t="inlineStr">
        <is>
          <t>Direct cost</t>
        </is>
      </c>
      <c r="E147" s="26">
        <f>SUM(E142:E146)</f>
        <v/>
      </c>
    </row>
    <row r="148">
      <c r="B148" s="21" t="inlineStr">
        <is>
          <t>Profit</t>
        </is>
      </c>
      <c r="E148" s="26">
        <f>E147*p_profit</f>
        <v/>
      </c>
    </row>
    <row r="149">
      <c r="B149" s="38" t="inlineStr">
        <is>
          <t>Rate per m3 (excl P&amp;G and VAT)</t>
        </is>
      </c>
      <c r="E149" s="39">
        <f>E147+E148</f>
        <v/>
      </c>
      <c r="F149" s="40">
        <f>""</f>
        <v/>
      </c>
    </row>
    <row r="151">
      <c r="A151" s="19" t="inlineStr">
        <is>
          <t>C8</t>
        </is>
      </c>
      <c r="B151" s="19" t="inlineStr">
        <is>
          <t>Cement for stabilising  (per t)</t>
        </is>
      </c>
      <c r="C151" s="20" t="n"/>
      <c r="D151" s="20" t="n"/>
      <c r="E151" s="20" t="n"/>
      <c r="F151" s="20" t="n"/>
      <c r="G151" s="20" t="n"/>
    </row>
    <row r="152" ht="30" customHeight="1">
      <c r="A152" s="18" t="inlineStr"/>
      <c r="B152" s="18" t="inlineStr">
        <is>
          <t>Component</t>
        </is>
      </c>
      <c r="C152" s="18" t="inlineStr">
        <is>
          <t>Qty per unit</t>
        </is>
      </c>
      <c r="D152" s="18" t="inlineStr">
        <is>
          <t>Rate (R)</t>
        </is>
      </c>
      <c r="E152" s="18" t="inlineStr">
        <is>
          <t>Cost (R)</t>
        </is>
      </c>
      <c r="F152" s="18" t="inlineStr"/>
      <c r="G152" s="18" t="inlineStr"/>
    </row>
    <row r="153">
      <c r="B153" s="21" t="inlineStr">
        <is>
          <t>Cement, 50 kg bags</t>
        </is>
      </c>
      <c r="C153" s="43" t="n">
        <v>20</v>
      </c>
      <c r="D153" s="26">
        <f>mt_cement</f>
        <v/>
      </c>
      <c r="E153" s="26">
        <f>IF(D153="",0,C153*D153)</f>
        <v/>
      </c>
    </row>
    <row r="154">
      <c r="B154" s="38" t="inlineStr">
        <is>
          <t>Direct cost</t>
        </is>
      </c>
      <c r="E154" s="26">
        <f>SUM(E153:E153)</f>
        <v/>
      </c>
    </row>
    <row r="155">
      <c r="B155" s="21" t="inlineStr">
        <is>
          <t>Profit</t>
        </is>
      </c>
      <c r="E155" s="26">
        <f>E154*p_profit</f>
        <v/>
      </c>
    </row>
    <row r="156">
      <c r="B156" s="38" t="inlineStr">
        <is>
          <t>Rate per t (excl P&amp;G and VAT)</t>
        </is>
      </c>
      <c r="E156" s="39">
        <f>E154+E155</f>
        <v/>
      </c>
      <c r="F156" s="40">
        <f>""</f>
        <v/>
      </c>
    </row>
    <row r="158">
      <c r="A158" s="19" t="inlineStr">
        <is>
          <t>C9</t>
        </is>
      </c>
      <c r="B158" s="19" t="inlineStr">
        <is>
          <t>Base (commercial)  (per m3)</t>
        </is>
      </c>
      <c r="C158" s="20" t="n"/>
      <c r="D158" s="20" t="n"/>
      <c r="E158" s="20" t="n"/>
      <c r="F158" s="20" t="n"/>
      <c r="G158" s="20" t="n"/>
    </row>
    <row r="159" ht="30" customHeight="1">
      <c r="A159" s="18" t="inlineStr"/>
      <c r="B159" s="18" t="inlineStr">
        <is>
          <t>Component</t>
        </is>
      </c>
      <c r="C159" s="18" t="inlineStr">
        <is>
          <t>Qty per unit</t>
        </is>
      </c>
      <c r="D159" s="18" t="inlineStr">
        <is>
          <t>Rate (R)</t>
        </is>
      </c>
      <c r="E159" s="18" t="inlineStr">
        <is>
          <t>Cost (R)</t>
        </is>
      </c>
      <c r="F159" s="18" t="inlineStr"/>
      <c r="G159" s="18" t="inlineStr"/>
    </row>
    <row r="160">
      <c r="B160" s="21" t="inlineStr">
        <is>
          <t>G2 crushed stone, collected</t>
        </is>
      </c>
      <c r="C160" s="42">
        <f>q_layer</f>
        <v/>
      </c>
      <c r="D160" s="26">
        <f>mt_g2</f>
        <v/>
      </c>
      <c r="E160" s="26">
        <f>IF(D160="",0,C160*D160)</f>
        <v/>
      </c>
    </row>
    <row r="161">
      <c r="B161" s="21" t="inlineStr">
        <is>
          <t>Tipper, quarry to site</t>
        </is>
      </c>
      <c r="C161" s="42">
        <f>h_quarry*q_layer</f>
        <v/>
      </c>
      <c r="D161" s="26">
        <f>pl_tipper</f>
        <v/>
      </c>
      <c r="E161" s="26">
        <f>IF(D161="",0,C161*D161)</f>
        <v/>
      </c>
    </row>
    <row r="162">
      <c r="B162" s="21" t="inlineStr">
        <is>
          <t>Grader, spread and shape</t>
        </is>
      </c>
      <c r="C162" s="42">
        <f>1/o_ggsb</f>
        <v/>
      </c>
      <c r="D162" s="26">
        <f>pl_grader</f>
        <v/>
      </c>
      <c r="E162" s="26">
        <f>IF(D162="",0,C162*D162)</f>
        <v/>
      </c>
    </row>
    <row r="163">
      <c r="B163" s="21" t="inlineStr">
        <is>
          <t>Water cart</t>
        </is>
      </c>
      <c r="C163" s="42">
        <f>o_wcart</f>
        <v/>
      </c>
      <c r="D163" s="26">
        <f>pl_watercart</f>
        <v/>
      </c>
      <c r="E163" s="26">
        <f>IF(D163="",0,C163*D163)</f>
        <v/>
      </c>
    </row>
    <row r="164">
      <c r="B164" s="21" t="inlineStr">
        <is>
          <t>Water bought</t>
        </is>
      </c>
      <c r="C164" s="42">
        <f>o_water/1000</f>
        <v/>
      </c>
      <c r="D164" s="26">
        <f>p_water</f>
        <v/>
      </c>
      <c r="E164" s="26">
        <f>IF(D164="",0,C164*D164)</f>
        <v/>
      </c>
    </row>
    <row r="165">
      <c r="B165" s="21" t="inlineStr">
        <is>
          <t>Roller, compact</t>
        </is>
      </c>
      <c r="C165" s="42">
        <f>1/o_rgsb</f>
        <v/>
      </c>
      <c r="D165" s="26">
        <f>pl_roller</f>
        <v/>
      </c>
      <c r="E165" s="26">
        <f>IF(D165="",0,C165*D165)</f>
        <v/>
      </c>
    </row>
    <row r="166">
      <c r="B166" s="21" t="inlineStr">
        <is>
          <t>Pneumatic roller, finish</t>
        </is>
      </c>
      <c r="C166" s="42">
        <f>1/o_rgsb</f>
        <v/>
      </c>
      <c r="D166" s="26">
        <f>pl_pneu</f>
        <v/>
      </c>
      <c r="E166" s="26">
        <f>IF(D166="",0,C166*D166)</f>
        <v/>
      </c>
    </row>
    <row r="167">
      <c r="B167" s="38" t="inlineStr">
        <is>
          <t>Direct cost</t>
        </is>
      </c>
      <c r="E167" s="26">
        <f>SUM(E160:E166)</f>
        <v/>
      </c>
    </row>
    <row r="168">
      <c r="B168" s="21" t="inlineStr">
        <is>
          <t>Profit</t>
        </is>
      </c>
      <c r="E168" s="26">
        <f>E167*p_profit</f>
        <v/>
      </c>
    </row>
    <row r="169">
      <c r="B169" s="38" t="inlineStr">
        <is>
          <t>Rate per m3 (excl P&amp;G and VAT)</t>
        </is>
      </c>
      <c r="E169" s="39">
        <f>E167+E168</f>
        <v/>
      </c>
      <c r="F169" s="40">
        <f>""</f>
        <v/>
      </c>
    </row>
    <row r="171">
      <c r="A171" s="19" t="inlineStr">
        <is>
          <t>D1</t>
        </is>
      </c>
      <c r="B171" s="19" t="inlineStr">
        <is>
          <t>Prime coat  (per l)</t>
        </is>
      </c>
      <c r="C171" s="20" t="n"/>
      <c r="D171" s="20" t="n"/>
      <c r="E171" s="20" t="n"/>
      <c r="F171" s="20" t="n"/>
      <c r="G171" s="20" t="n"/>
    </row>
    <row r="172" ht="30" customHeight="1">
      <c r="A172" s="18" t="inlineStr"/>
      <c r="B172" s="18" t="inlineStr">
        <is>
          <t>Component</t>
        </is>
      </c>
      <c r="C172" s="18" t="inlineStr">
        <is>
          <t>Qty per unit</t>
        </is>
      </c>
      <c r="D172" s="18" t="inlineStr">
        <is>
          <t>Rate (R)</t>
        </is>
      </c>
      <c r="E172" s="18" t="inlineStr">
        <is>
          <t>Cost (R)</t>
        </is>
      </c>
      <c r="F172" s="18" t="inlineStr"/>
      <c r="G172" s="18" t="inlineStr"/>
    </row>
    <row r="173">
      <c r="B173" s="21" t="inlineStr">
        <is>
          <t>MC-30 prime</t>
        </is>
      </c>
      <c r="C173" s="43" t="n">
        <v>1</v>
      </c>
      <c r="D173" s="26">
        <f>mt_mc30</f>
        <v/>
      </c>
      <c r="E173" s="26">
        <f>IF(D173="",0,C173*D173)</f>
        <v/>
      </c>
    </row>
    <row r="174">
      <c r="B174" s="21" t="inlineStr">
        <is>
          <t>Distributor</t>
        </is>
      </c>
      <c r="C174" s="42">
        <f>1/(o_spray*s_prime)</f>
        <v/>
      </c>
      <c r="D174" s="26">
        <f>pl_distributor</f>
        <v/>
      </c>
      <c r="E174" s="26">
        <f>IF(D174="",0,C174*D174)</f>
        <v/>
      </c>
    </row>
    <row r="175">
      <c r="B175" s="38" t="inlineStr">
        <is>
          <t>Direct cost</t>
        </is>
      </c>
      <c r="E175" s="26">
        <f>SUM(E173:E174)</f>
        <v/>
      </c>
    </row>
    <row r="176">
      <c r="B176" s="21" t="inlineStr">
        <is>
          <t>Profit</t>
        </is>
      </c>
      <c r="E176" s="26">
        <f>E175*p_profit</f>
        <v/>
      </c>
    </row>
    <row r="177">
      <c r="B177" s="38" t="inlineStr">
        <is>
          <t>Rate per l (excl P&amp;G and VAT)</t>
        </is>
      </c>
      <c r="E177" s="39">
        <f>E175+E176</f>
        <v/>
      </c>
      <c r="F177" s="40">
        <f>""</f>
        <v/>
      </c>
    </row>
    <row r="179">
      <c r="A179" s="19" t="inlineStr">
        <is>
          <t>D2</t>
        </is>
      </c>
      <c r="B179" s="19" t="inlineStr">
        <is>
          <t>Tack coat  (per l)</t>
        </is>
      </c>
      <c r="C179" s="20" t="n"/>
      <c r="D179" s="20" t="n"/>
      <c r="E179" s="20" t="n"/>
      <c r="F179" s="20" t="n"/>
      <c r="G179" s="20" t="n"/>
    </row>
    <row r="180" ht="30" customHeight="1">
      <c r="A180" s="18" t="inlineStr"/>
      <c r="B180" s="18" t="inlineStr">
        <is>
          <t>Component</t>
        </is>
      </c>
      <c r="C180" s="18" t="inlineStr">
        <is>
          <t>Qty per unit</t>
        </is>
      </c>
      <c r="D180" s="18" t="inlineStr">
        <is>
          <t>Rate (R)</t>
        </is>
      </c>
      <c r="E180" s="18" t="inlineStr">
        <is>
          <t>Cost (R)</t>
        </is>
      </c>
      <c r="F180" s="18" t="inlineStr"/>
      <c r="G180" s="18" t="inlineStr"/>
    </row>
    <row r="181">
      <c r="B181" s="21" t="inlineStr">
        <is>
          <t>SS60 tack</t>
        </is>
      </c>
      <c r="C181" s="43" t="n">
        <v>1</v>
      </c>
      <c r="D181" s="26">
        <f>mt_ss60</f>
        <v/>
      </c>
      <c r="E181" s="26">
        <f>IF(D181="",0,C181*D181)</f>
        <v/>
      </c>
    </row>
    <row r="182">
      <c r="B182" s="21" t="inlineStr">
        <is>
          <t>Distributor</t>
        </is>
      </c>
      <c r="C182" s="42">
        <f>1/(o_spray*s_tack)</f>
        <v/>
      </c>
      <c r="D182" s="26">
        <f>pl_distributor</f>
        <v/>
      </c>
      <c r="E182" s="26">
        <f>IF(D182="",0,C182*D182)</f>
        <v/>
      </c>
    </row>
    <row r="183">
      <c r="B183" s="38" t="inlineStr">
        <is>
          <t>Direct cost</t>
        </is>
      </c>
      <c r="E183" s="26">
        <f>SUM(E181:E182)</f>
        <v/>
      </c>
    </row>
    <row r="184">
      <c r="B184" s="21" t="inlineStr">
        <is>
          <t>Profit</t>
        </is>
      </c>
      <c r="E184" s="26">
        <f>E183*p_profit</f>
        <v/>
      </c>
    </row>
    <row r="185">
      <c r="B185" s="38" t="inlineStr">
        <is>
          <t>Rate per l (excl P&amp;G and VAT)</t>
        </is>
      </c>
      <c r="E185" s="39">
        <f>E183+E184</f>
        <v/>
      </c>
      <c r="F185" s="40">
        <f>""</f>
        <v/>
      </c>
    </row>
    <row r="187">
      <c r="A187" s="19" t="inlineStr">
        <is>
          <t>D3</t>
        </is>
      </c>
      <c r="B187" s="19" t="inlineStr">
        <is>
          <t>30 mm asphalt surfacing  (per m2)</t>
        </is>
      </c>
      <c r="C187" s="20" t="n"/>
      <c r="D187" s="20" t="n"/>
      <c r="E187" s="20" t="n"/>
      <c r="F187" s="20" t="n"/>
      <c r="G187" s="20" t="n"/>
    </row>
    <row r="188" ht="30" customHeight="1">
      <c r="A188" s="18" t="inlineStr"/>
      <c r="B188" s="18" t="inlineStr">
        <is>
          <t>Component</t>
        </is>
      </c>
      <c r="C188" s="18" t="inlineStr">
        <is>
          <t>Qty per unit</t>
        </is>
      </c>
      <c r="D188" s="18" t="inlineStr">
        <is>
          <t>Rate (R)</t>
        </is>
      </c>
      <c r="E188" s="18" t="inlineStr">
        <is>
          <t>Cost (R)</t>
        </is>
      </c>
      <c r="F188" s="18" t="inlineStr"/>
      <c r="G188" s="18" t="inlineStr"/>
    </row>
    <row r="189">
      <c r="B189" s="21" t="inlineStr">
        <is>
          <t>Asphalt, supplied and laid</t>
        </is>
      </c>
      <c r="C189" s="43" t="n">
        <v>1</v>
      </c>
      <c r="D189" s="26">
        <f>mt_asphalt</f>
        <v/>
      </c>
      <c r="E189" s="26">
        <f>IF(D189="",0,C189*D189)</f>
        <v/>
      </c>
    </row>
    <row r="190">
      <c r="B190" s="38" t="inlineStr">
        <is>
          <t>Direct cost</t>
        </is>
      </c>
      <c r="E190" s="26">
        <f>SUM(E189:E189)</f>
        <v/>
      </c>
    </row>
    <row r="191">
      <c r="B191" s="21" t="inlineStr">
        <is>
          <t>Profit</t>
        </is>
      </c>
      <c r="E191" s="26">
        <f>E190*p_profit</f>
        <v/>
      </c>
    </row>
    <row r="192">
      <c r="B192" s="38" t="inlineStr">
        <is>
          <t>Rate per m2 (excl P&amp;G and VAT)</t>
        </is>
      </c>
      <c r="E192" s="39">
        <f>E190+E191</f>
        <v/>
      </c>
      <c r="F192" s="40">
        <f>IF(mt_asphalt="","QUOTE NEEDED: asphalt ","")</f>
        <v/>
      </c>
    </row>
    <row r="194">
      <c r="A194" s="19" t="inlineStr">
        <is>
          <t>E1</t>
        </is>
      </c>
      <c r="B194" s="19" t="inlineStr">
        <is>
          <t>150 mm lines  (per m)</t>
        </is>
      </c>
      <c r="C194" s="20" t="n"/>
      <c r="D194" s="20" t="n"/>
      <c r="E194" s="20" t="n"/>
      <c r="F194" s="20" t="n"/>
      <c r="G194" s="20" t="n"/>
    </row>
    <row r="195" ht="30" customHeight="1">
      <c r="A195" s="18" t="inlineStr"/>
      <c r="B195" s="18" t="inlineStr">
        <is>
          <t>Component</t>
        </is>
      </c>
      <c r="C195" s="18" t="inlineStr">
        <is>
          <t>Qty per unit</t>
        </is>
      </c>
      <c r="D195" s="18" t="inlineStr">
        <is>
          <t>Rate (R)</t>
        </is>
      </c>
      <c r="E195" s="18" t="inlineStr">
        <is>
          <t>Cost (R)</t>
        </is>
      </c>
      <c r="F195" s="18" t="inlineStr"/>
      <c r="G195" s="18" t="inlineStr"/>
    </row>
    <row r="196">
      <c r="B196" s="21" t="inlineStr">
        <is>
          <t>Paint</t>
        </is>
      </c>
      <c r="C196" s="42">
        <f>o_paint*0.15</f>
        <v/>
      </c>
      <c r="D196" s="26">
        <f>mt_paint</f>
        <v/>
      </c>
      <c r="E196" s="26">
        <f>IF(D196="",0,C196*D196)</f>
        <v/>
      </c>
    </row>
    <row r="197">
      <c r="B197" s="21" t="inlineStr">
        <is>
          <t>Painter</t>
        </is>
      </c>
      <c r="C197" s="42">
        <f>o_painter*p_day*0.15</f>
        <v/>
      </c>
      <c r="D197" s="26">
        <f>lb_artisan</f>
        <v/>
      </c>
      <c r="E197" s="26">
        <f>IF(D197="",0,C197*D197)</f>
        <v/>
      </c>
    </row>
    <row r="198">
      <c r="B198" s="21" t="inlineStr">
        <is>
          <t>Labourers</t>
        </is>
      </c>
      <c r="C198" s="42">
        <f>o_paintlab*p_day*0.15</f>
        <v/>
      </c>
      <c r="D198" s="26">
        <f>lb_labourer</f>
        <v/>
      </c>
      <c r="E198" s="26">
        <f>IF(D198="",0,C198*D198)</f>
        <v/>
      </c>
    </row>
    <row r="199">
      <c r="B199" s="38" t="inlineStr">
        <is>
          <t>Direct cost</t>
        </is>
      </c>
      <c r="E199" s="26">
        <f>SUM(E196:E198)</f>
        <v/>
      </c>
    </row>
    <row r="200">
      <c r="B200" s="21" t="inlineStr">
        <is>
          <t>Profit</t>
        </is>
      </c>
      <c r="E200" s="26">
        <f>E199*p_profit</f>
        <v/>
      </c>
    </row>
    <row r="201">
      <c r="B201" s="38" t="inlineStr">
        <is>
          <t>Rate per m (excl P&amp;G and VAT)</t>
        </is>
      </c>
      <c r="E201" s="39">
        <f>E199+E200</f>
        <v/>
      </c>
      <c r="F201" s="40">
        <f>""</f>
        <v/>
      </c>
    </row>
    <row r="203">
      <c r="A203" s="19" t="inlineStr">
        <is>
          <t>E2</t>
        </is>
      </c>
      <c r="B203" s="19" t="inlineStr">
        <is>
          <t>200 mm lines  (per m)</t>
        </is>
      </c>
      <c r="C203" s="20" t="n"/>
      <c r="D203" s="20" t="n"/>
      <c r="E203" s="20" t="n"/>
      <c r="F203" s="20" t="n"/>
      <c r="G203" s="20" t="n"/>
    </row>
    <row r="204" ht="30" customHeight="1">
      <c r="A204" s="18" t="inlineStr"/>
      <c r="B204" s="18" t="inlineStr">
        <is>
          <t>Component</t>
        </is>
      </c>
      <c r="C204" s="18" t="inlineStr">
        <is>
          <t>Qty per unit</t>
        </is>
      </c>
      <c r="D204" s="18" t="inlineStr">
        <is>
          <t>Rate (R)</t>
        </is>
      </c>
      <c r="E204" s="18" t="inlineStr">
        <is>
          <t>Cost (R)</t>
        </is>
      </c>
      <c r="F204" s="18" t="inlineStr"/>
      <c r="G204" s="18" t="inlineStr"/>
    </row>
    <row r="205">
      <c r="B205" s="21" t="inlineStr">
        <is>
          <t>Paint</t>
        </is>
      </c>
      <c r="C205" s="42">
        <f>o_paint*0.2</f>
        <v/>
      </c>
      <c r="D205" s="26">
        <f>mt_paint</f>
        <v/>
      </c>
      <c r="E205" s="26">
        <f>IF(D205="",0,C205*D205)</f>
        <v/>
      </c>
    </row>
    <row r="206">
      <c r="B206" s="21" t="inlineStr">
        <is>
          <t>Painter</t>
        </is>
      </c>
      <c r="C206" s="42">
        <f>o_painter*p_day*0.2</f>
        <v/>
      </c>
      <c r="D206" s="26">
        <f>lb_artisan</f>
        <v/>
      </c>
      <c r="E206" s="26">
        <f>IF(D206="",0,C206*D206)</f>
        <v/>
      </c>
    </row>
    <row r="207">
      <c r="B207" s="21" t="inlineStr">
        <is>
          <t>Labourers</t>
        </is>
      </c>
      <c r="C207" s="42">
        <f>o_paintlab*p_day*0.2</f>
        <v/>
      </c>
      <c r="D207" s="26">
        <f>lb_labourer</f>
        <v/>
      </c>
      <c r="E207" s="26">
        <f>IF(D207="",0,C207*D207)</f>
        <v/>
      </c>
    </row>
    <row r="208">
      <c r="B208" s="38" t="inlineStr">
        <is>
          <t>Direct cost</t>
        </is>
      </c>
      <c r="E208" s="26">
        <f>SUM(E205:E207)</f>
        <v/>
      </c>
    </row>
    <row r="209">
      <c r="B209" s="21" t="inlineStr">
        <is>
          <t>Profit</t>
        </is>
      </c>
      <c r="E209" s="26">
        <f>E208*p_profit</f>
        <v/>
      </c>
    </row>
    <row r="210">
      <c r="B210" s="38" t="inlineStr">
        <is>
          <t>Rate per m (excl P&amp;G and VAT)</t>
        </is>
      </c>
      <c r="E210" s="39">
        <f>E208+E209</f>
        <v/>
      </c>
      <c r="F210" s="40">
        <f>""</f>
        <v/>
      </c>
    </row>
    <row r="212">
      <c r="A212" s="19" t="inlineStr">
        <is>
          <t>E3</t>
        </is>
      </c>
      <c r="B212" s="19" t="inlineStr">
        <is>
          <t>300 mm lines  (per m)</t>
        </is>
      </c>
      <c r="C212" s="20" t="n"/>
      <c r="D212" s="20" t="n"/>
      <c r="E212" s="20" t="n"/>
      <c r="F212" s="20" t="n"/>
      <c r="G212" s="20" t="n"/>
    </row>
    <row r="213" ht="30" customHeight="1">
      <c r="A213" s="18" t="inlineStr"/>
      <c r="B213" s="18" t="inlineStr">
        <is>
          <t>Component</t>
        </is>
      </c>
      <c r="C213" s="18" t="inlineStr">
        <is>
          <t>Qty per unit</t>
        </is>
      </c>
      <c r="D213" s="18" t="inlineStr">
        <is>
          <t>Rate (R)</t>
        </is>
      </c>
      <c r="E213" s="18" t="inlineStr">
        <is>
          <t>Cost (R)</t>
        </is>
      </c>
      <c r="F213" s="18" t="inlineStr"/>
      <c r="G213" s="18" t="inlineStr"/>
    </row>
    <row r="214">
      <c r="B214" s="21" t="inlineStr">
        <is>
          <t>Paint</t>
        </is>
      </c>
      <c r="C214" s="42">
        <f>o_paint*0.3</f>
        <v/>
      </c>
      <c r="D214" s="26">
        <f>mt_paint</f>
        <v/>
      </c>
      <c r="E214" s="26">
        <f>IF(D214="",0,C214*D214)</f>
        <v/>
      </c>
    </row>
    <row r="215">
      <c r="B215" s="21" t="inlineStr">
        <is>
          <t>Painter</t>
        </is>
      </c>
      <c r="C215" s="42">
        <f>o_painter*p_day*0.3</f>
        <v/>
      </c>
      <c r="D215" s="26">
        <f>lb_artisan</f>
        <v/>
      </c>
      <c r="E215" s="26">
        <f>IF(D215="",0,C215*D215)</f>
        <v/>
      </c>
    </row>
    <row r="216">
      <c r="B216" s="21" t="inlineStr">
        <is>
          <t>Labourers</t>
        </is>
      </c>
      <c r="C216" s="42">
        <f>o_paintlab*p_day*0.3</f>
        <v/>
      </c>
      <c r="D216" s="26">
        <f>lb_labourer</f>
        <v/>
      </c>
      <c r="E216" s="26">
        <f>IF(D216="",0,C216*D216)</f>
        <v/>
      </c>
    </row>
    <row r="217">
      <c r="B217" s="38" t="inlineStr">
        <is>
          <t>Direct cost</t>
        </is>
      </c>
      <c r="E217" s="26">
        <f>SUM(E214:E216)</f>
        <v/>
      </c>
    </row>
    <row r="218">
      <c r="B218" s="21" t="inlineStr">
        <is>
          <t>Profit</t>
        </is>
      </c>
      <c r="E218" s="26">
        <f>E217*p_profit</f>
        <v/>
      </c>
    </row>
    <row r="219">
      <c r="B219" s="38" t="inlineStr">
        <is>
          <t>Rate per m (excl P&amp;G and VAT)</t>
        </is>
      </c>
      <c r="E219" s="39">
        <f>E217+E218</f>
        <v/>
      </c>
      <c r="F219" s="40">
        <f>""</f>
        <v/>
      </c>
    </row>
    <row r="221">
      <c r="A221" s="19" t="inlineStr">
        <is>
          <t>E4</t>
        </is>
      </c>
      <c r="B221" s="19" t="inlineStr">
        <is>
          <t>White letters and symbols  (per m2)</t>
        </is>
      </c>
      <c r="C221" s="20" t="n"/>
      <c r="D221" s="20" t="n"/>
      <c r="E221" s="20" t="n"/>
      <c r="F221" s="20" t="n"/>
      <c r="G221" s="20" t="n"/>
    </row>
    <row r="222" ht="30" customHeight="1">
      <c r="A222" s="18" t="inlineStr"/>
      <c r="B222" s="18" t="inlineStr">
        <is>
          <t>Component</t>
        </is>
      </c>
      <c r="C222" s="18" t="inlineStr">
        <is>
          <t>Qty per unit</t>
        </is>
      </c>
      <c r="D222" s="18" t="inlineStr">
        <is>
          <t>Rate (R)</t>
        </is>
      </c>
      <c r="E222" s="18" t="inlineStr">
        <is>
          <t>Cost (R)</t>
        </is>
      </c>
      <c r="F222" s="18" t="inlineStr"/>
      <c r="G222" s="18" t="inlineStr"/>
    </row>
    <row r="223">
      <c r="B223" s="21" t="inlineStr">
        <is>
          <t>Paint</t>
        </is>
      </c>
      <c r="C223" s="42">
        <f>o_paint*1</f>
        <v/>
      </c>
      <c r="D223" s="26">
        <f>mt_paint</f>
        <v/>
      </c>
      <c r="E223" s="26">
        <f>IF(D223="",0,C223*D223)</f>
        <v/>
      </c>
    </row>
    <row r="224">
      <c r="B224" s="21" t="inlineStr">
        <is>
          <t>Painter</t>
        </is>
      </c>
      <c r="C224" s="42">
        <f>o_painter*p_day*1</f>
        <v/>
      </c>
      <c r="D224" s="26">
        <f>lb_artisan</f>
        <v/>
      </c>
      <c r="E224" s="26">
        <f>IF(D224="",0,C224*D224)</f>
        <v/>
      </c>
    </row>
    <row r="225">
      <c r="B225" s="21" t="inlineStr">
        <is>
          <t>Labourers</t>
        </is>
      </c>
      <c r="C225" s="42">
        <f>o_paintlab*p_day*1</f>
        <v/>
      </c>
      <c r="D225" s="26">
        <f>lb_labourer</f>
        <v/>
      </c>
      <c r="E225" s="26">
        <f>IF(D225="",0,C225*D225)</f>
        <v/>
      </c>
    </row>
    <row r="226">
      <c r="B226" s="38" t="inlineStr">
        <is>
          <t>Direct cost</t>
        </is>
      </c>
      <c r="E226" s="26">
        <f>SUM(E223:E225)</f>
        <v/>
      </c>
    </row>
    <row r="227">
      <c r="B227" s="21" t="inlineStr">
        <is>
          <t>Profit</t>
        </is>
      </c>
      <c r="E227" s="26">
        <f>E226*p_profit</f>
        <v/>
      </c>
    </row>
    <row r="228">
      <c r="B228" s="38" t="inlineStr">
        <is>
          <t>Rate per m2 (excl P&amp;G and VAT)</t>
        </is>
      </c>
      <c r="E228" s="39">
        <f>E226+E227</f>
        <v/>
      </c>
      <c r="F228" s="40">
        <f>""</f>
        <v/>
      </c>
    </row>
    <row r="230">
      <c r="A230" s="19" t="inlineStr">
        <is>
          <t>F1</t>
        </is>
      </c>
      <c r="B230" s="19" t="inlineStr">
        <is>
          <t>Setting out  (per km)</t>
        </is>
      </c>
      <c r="C230" s="20" t="n"/>
      <c r="D230" s="20" t="n"/>
      <c r="E230" s="20" t="n"/>
      <c r="F230" s="20" t="n"/>
      <c r="G230" s="20" t="n"/>
    </row>
    <row r="231" ht="30" customHeight="1">
      <c r="A231" s="18" t="inlineStr"/>
      <c r="B231" s="18" t="inlineStr">
        <is>
          <t>Component</t>
        </is>
      </c>
      <c r="C231" s="18" t="inlineStr">
        <is>
          <t>Qty per unit</t>
        </is>
      </c>
      <c r="D231" s="18" t="inlineStr">
        <is>
          <t>Rate (R)</t>
        </is>
      </c>
      <c r="E231" s="18" t="inlineStr">
        <is>
          <t>Cost (R)</t>
        </is>
      </c>
      <c r="F231" s="18" t="inlineStr"/>
      <c r="G231" s="18" t="inlineStr"/>
    </row>
    <row r="232">
      <c r="B232" s="21" t="inlineStr">
        <is>
          <t>Survey technician</t>
        </is>
      </c>
      <c r="C232" s="42">
        <f>p_day/o_setout</f>
        <v/>
      </c>
      <c r="D232" s="26">
        <f>lb_survtech</f>
        <v/>
      </c>
      <c r="E232" s="26">
        <f>IF(D232="",0,C232*D232)</f>
        <v/>
      </c>
    </row>
    <row r="233">
      <c r="B233" s="21" t="inlineStr">
        <is>
          <t>Labourers (2)</t>
        </is>
      </c>
      <c r="C233" s="42">
        <f>2*p_day/o_setout</f>
        <v/>
      </c>
      <c r="D233" s="26">
        <f>lb_labourer</f>
        <v/>
      </c>
      <c r="E233" s="26">
        <f>IF(D233="",0,C233*D233)</f>
        <v/>
      </c>
    </row>
    <row r="234">
      <c r="B234" s="38" t="inlineStr">
        <is>
          <t>Direct cost</t>
        </is>
      </c>
      <c r="E234" s="26">
        <f>SUM(E232:E233)</f>
        <v/>
      </c>
    </row>
    <row r="235">
      <c r="B235" s="21" t="inlineStr">
        <is>
          <t>Profit</t>
        </is>
      </c>
      <c r="E235" s="26">
        <f>E234*p_profit</f>
        <v/>
      </c>
    </row>
    <row r="236">
      <c r="B236" s="38" t="inlineStr">
        <is>
          <t>Rate per km (excl P&amp;G and VAT)</t>
        </is>
      </c>
      <c r="E236" s="39">
        <f>E234+E235</f>
        <v/>
      </c>
      <c r="F236" s="40">
        <f>""</f>
        <v/>
      </c>
    </row>
    <row r="238">
      <c r="A238" s="19" t="inlineStr">
        <is>
          <t>F2</t>
        </is>
      </c>
      <c r="B238" s="19" t="inlineStr">
        <is>
          <t>Stop signs  (per No)</t>
        </is>
      </c>
      <c r="C238" s="20" t="n"/>
      <c r="D238" s="20" t="n"/>
      <c r="E238" s="20" t="n"/>
      <c r="F238" s="20" t="n"/>
      <c r="G238" s="20" t="n"/>
    </row>
    <row r="239" ht="30" customHeight="1">
      <c r="A239" s="18" t="inlineStr"/>
      <c r="B239" s="18" t="inlineStr">
        <is>
          <t>Component</t>
        </is>
      </c>
      <c r="C239" s="18" t="inlineStr">
        <is>
          <t>Qty per unit</t>
        </is>
      </c>
      <c r="D239" s="18" t="inlineStr">
        <is>
          <t>Rate (R)</t>
        </is>
      </c>
      <c r="E239" s="18" t="inlineStr">
        <is>
          <t>Cost (R)</t>
        </is>
      </c>
      <c r="F239" s="18" t="inlineStr"/>
      <c r="G239" s="18" t="inlineStr"/>
    </row>
    <row r="240">
      <c r="B240" s="21" t="inlineStr">
        <is>
          <t>R1 stop sign</t>
        </is>
      </c>
      <c r="C240" s="43" t="n">
        <v>1</v>
      </c>
      <c r="D240" s="26">
        <f>mt_stop</f>
        <v/>
      </c>
      <c r="E240" s="26">
        <f>IF(D240="",0,C240*D240)</f>
        <v/>
      </c>
    </row>
    <row r="241">
      <c r="B241" s="21" t="inlineStr">
        <is>
          <t>Sign pole and clamps</t>
        </is>
      </c>
      <c r="C241" s="43" t="n">
        <v>1</v>
      </c>
      <c r="D241" s="26">
        <f>mt_pole</f>
        <v/>
      </c>
      <c r="E241" s="26">
        <f>IF(D241="",0,C241*D241)</f>
        <v/>
      </c>
    </row>
    <row r="242">
      <c r="B242" s="21" t="inlineStr">
        <is>
          <t>Labour, erect</t>
        </is>
      </c>
      <c r="C242" s="42">
        <f>o_signlab*p_day</f>
        <v/>
      </c>
      <c r="D242" s="26">
        <f>lb_labourer</f>
        <v/>
      </c>
      <c r="E242" s="26">
        <f>IF(D242="",0,C242*D242)</f>
        <v/>
      </c>
    </row>
    <row r="243">
      <c r="B243" s="21" t="inlineStr">
        <is>
          <t>Concrete footing</t>
        </is>
      </c>
      <c r="C243" s="42">
        <f>o_signconc</f>
        <v/>
      </c>
      <c r="D243" s="26">
        <f>mt_concrete</f>
        <v/>
      </c>
      <c r="E243" s="26">
        <f>IF(D243="",0,C243*D243)</f>
        <v/>
      </c>
    </row>
    <row r="244">
      <c r="B244" s="38" t="inlineStr">
        <is>
          <t>Direct cost</t>
        </is>
      </c>
      <c r="E244" s="26">
        <f>SUM(E240:E243)</f>
        <v/>
      </c>
    </row>
    <row r="245">
      <c r="B245" s="21" t="inlineStr">
        <is>
          <t>Profit</t>
        </is>
      </c>
      <c r="E245" s="26">
        <f>E244*p_profit</f>
        <v/>
      </c>
    </row>
    <row r="246">
      <c r="B246" s="38" t="inlineStr">
        <is>
          <t>Rate per No (excl P&amp;G and VAT)</t>
        </is>
      </c>
      <c r="E246" s="39">
        <f>E244+E245</f>
        <v/>
      </c>
      <c r="F246" s="40">
        <f>""</f>
        <v/>
      </c>
    </row>
    <row r="248">
      <c r="A248" s="19" t="inlineStr">
        <is>
          <t>F3</t>
        </is>
      </c>
      <c r="B248" s="19" t="inlineStr">
        <is>
          <t>Yield signs  (per No)</t>
        </is>
      </c>
      <c r="C248" s="20" t="n"/>
      <c r="D248" s="20" t="n"/>
      <c r="E248" s="20" t="n"/>
      <c r="F248" s="20" t="n"/>
      <c r="G248" s="20" t="n"/>
    </row>
    <row r="249" ht="30" customHeight="1">
      <c r="A249" s="18" t="inlineStr"/>
      <c r="B249" s="18" t="inlineStr">
        <is>
          <t>Component</t>
        </is>
      </c>
      <c r="C249" s="18" t="inlineStr">
        <is>
          <t>Qty per unit</t>
        </is>
      </c>
      <c r="D249" s="18" t="inlineStr">
        <is>
          <t>Rate (R)</t>
        </is>
      </c>
      <c r="E249" s="18" t="inlineStr">
        <is>
          <t>Cost (R)</t>
        </is>
      </c>
      <c r="F249" s="18" t="inlineStr"/>
      <c r="G249" s="18" t="inlineStr"/>
    </row>
    <row r="250">
      <c r="B250" s="21" t="inlineStr">
        <is>
          <t>R2 yield sign</t>
        </is>
      </c>
      <c r="C250" s="43" t="n">
        <v>1</v>
      </c>
      <c r="D250" s="26">
        <f>mt_yield</f>
        <v/>
      </c>
      <c r="E250" s="26">
        <f>IF(D250="",0,C250*D250)</f>
        <v/>
      </c>
    </row>
    <row r="251">
      <c r="B251" s="21" t="inlineStr">
        <is>
          <t>Sign pole and clamps</t>
        </is>
      </c>
      <c r="C251" s="43" t="n">
        <v>1</v>
      </c>
      <c r="D251" s="26">
        <f>mt_pole</f>
        <v/>
      </c>
      <c r="E251" s="26">
        <f>IF(D251="",0,C251*D251)</f>
        <v/>
      </c>
    </row>
    <row r="252">
      <c r="B252" s="21" t="inlineStr">
        <is>
          <t>Labour, erect</t>
        </is>
      </c>
      <c r="C252" s="42">
        <f>o_signlab*p_day</f>
        <v/>
      </c>
      <c r="D252" s="26">
        <f>lb_labourer</f>
        <v/>
      </c>
      <c r="E252" s="26">
        <f>IF(D252="",0,C252*D252)</f>
        <v/>
      </c>
    </row>
    <row r="253">
      <c r="B253" s="21" t="inlineStr">
        <is>
          <t>Concrete footing</t>
        </is>
      </c>
      <c r="C253" s="42">
        <f>o_signconc</f>
        <v/>
      </c>
      <c r="D253" s="26">
        <f>mt_concrete</f>
        <v/>
      </c>
      <c r="E253" s="26">
        <f>IF(D253="",0,C253*D253)</f>
        <v/>
      </c>
    </row>
    <row r="254">
      <c r="B254" s="38" t="inlineStr">
        <is>
          <t>Direct cost</t>
        </is>
      </c>
      <c r="E254" s="26">
        <f>SUM(E250:E253)</f>
        <v/>
      </c>
    </row>
    <row r="255">
      <c r="B255" s="21" t="inlineStr">
        <is>
          <t>Profit</t>
        </is>
      </c>
      <c r="E255" s="26">
        <f>E254*p_profit</f>
        <v/>
      </c>
    </row>
    <row r="256">
      <c r="B256" s="38" t="inlineStr">
        <is>
          <t>Rate per No (excl P&amp;G and VAT)</t>
        </is>
      </c>
      <c r="E256" s="39">
        <f>E254+E255</f>
        <v/>
      </c>
      <c r="F256" s="40">
        <f>""</f>
        <v/>
      </c>
    </row>
    <row r="258">
      <c r="A258" s="19" t="inlineStr">
        <is>
          <t>F4</t>
        </is>
      </c>
      <c r="B258" s="19" t="inlineStr">
        <is>
          <t>Street name signs  (per No)</t>
        </is>
      </c>
      <c r="C258" s="20" t="n"/>
      <c r="D258" s="20" t="n"/>
      <c r="E258" s="20" t="n"/>
      <c r="F258" s="20" t="n"/>
      <c r="G258" s="20" t="n"/>
    </row>
    <row r="259" ht="30" customHeight="1">
      <c r="A259" s="18" t="inlineStr"/>
      <c r="B259" s="18" t="inlineStr">
        <is>
          <t>Component</t>
        </is>
      </c>
      <c r="C259" s="18" t="inlineStr">
        <is>
          <t>Qty per unit</t>
        </is>
      </c>
      <c r="D259" s="18" t="inlineStr">
        <is>
          <t>Rate (R)</t>
        </is>
      </c>
      <c r="E259" s="18" t="inlineStr">
        <is>
          <t>Cost (R)</t>
        </is>
      </c>
      <c r="F259" s="18" t="inlineStr"/>
      <c r="G259" s="18" t="inlineStr"/>
    </row>
    <row r="260">
      <c r="B260" s="21" t="inlineStr">
        <is>
          <t>Street name sign</t>
        </is>
      </c>
      <c r="C260" s="43" t="n">
        <v>1</v>
      </c>
      <c r="D260" s="26">
        <f>mt_streetname</f>
        <v/>
      </c>
      <c r="E260" s="26">
        <f>IF(D260="",0,C260*D260)</f>
        <v/>
      </c>
    </row>
    <row r="261">
      <c r="B261" s="21" t="inlineStr">
        <is>
          <t>Sign pole and clamps</t>
        </is>
      </c>
      <c r="C261" s="43" t="n">
        <v>1</v>
      </c>
      <c r="D261" s="26">
        <f>mt_pole</f>
        <v/>
      </c>
      <c r="E261" s="26">
        <f>IF(D261="",0,C261*D261)</f>
        <v/>
      </c>
    </row>
    <row r="262">
      <c r="B262" s="21" t="inlineStr">
        <is>
          <t>Labour, erect</t>
        </is>
      </c>
      <c r="C262" s="42">
        <f>o_signlab*p_day</f>
        <v/>
      </c>
      <c r="D262" s="26">
        <f>lb_labourer</f>
        <v/>
      </c>
      <c r="E262" s="26">
        <f>IF(D262="",0,C262*D262)</f>
        <v/>
      </c>
    </row>
    <row r="263">
      <c r="B263" s="21" t="inlineStr">
        <is>
          <t>Concrete footing</t>
        </is>
      </c>
      <c r="C263" s="42">
        <f>o_signconc</f>
        <v/>
      </c>
      <c r="D263" s="26">
        <f>mt_concrete</f>
        <v/>
      </c>
      <c r="E263" s="26">
        <f>IF(D263="",0,C263*D263)</f>
        <v/>
      </c>
    </row>
    <row r="264">
      <c r="B264" s="38" t="inlineStr">
        <is>
          <t>Direct cost</t>
        </is>
      </c>
      <c r="E264" s="26">
        <f>SUM(E260:E263)</f>
        <v/>
      </c>
    </row>
    <row r="265">
      <c r="B265" s="21" t="inlineStr">
        <is>
          <t>Profit</t>
        </is>
      </c>
      <c r="E265" s="26">
        <f>E264*p_profit</f>
        <v/>
      </c>
    </row>
    <row r="266">
      <c r="B266" s="38" t="inlineStr">
        <is>
          <t>Rate per No (excl P&amp;G and VAT)</t>
        </is>
      </c>
      <c r="E266" s="39">
        <f>E264+E265</f>
        <v/>
      </c>
      <c r="F266" s="40">
        <f>IF(mt_streetname="","QUOTE NEEDED: streetname ","")</f>
        <v/>
      </c>
    </row>
  </sheetData>
  <pageMargins left="0.75" right="0.7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K80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44" customWidth="1" min="2" max="2"/>
    <col width="8" customWidth="1" min="3" max="3"/>
    <col width="12" customWidth="1" min="4" max="4"/>
    <col width="12" customWidth="1" min="5" max="5"/>
    <col width="12" customWidth="1" min="6" max="6"/>
    <col width="9" customWidth="1" min="7" max="7"/>
    <col width="14" customWidth="1" min="8" max="8"/>
    <col width="46" customWidth="1" min="9" max="9"/>
    <col width="52" customWidth="1" min="10" max="10"/>
    <col width="12" customWidth="1" min="11" max="11"/>
  </cols>
  <sheetData>
    <row r="1" ht="30" customHeight="1">
      <c r="A1" s="14" t="inlineStr">
        <is>
          <t>Resources - every rate, output and price behind the build-ups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>
      <c r="A2" s="15" t="inlineStr">
        <is>
          <t>Excl VAT. Green = input you can replace. Orange status = not current, or Setout's assumption. Red = quote needed.</t>
        </is>
      </c>
    </row>
    <row r="5">
      <c r="A5" s="19" t="inlineStr">
        <is>
          <t>PLANT - R per hour, operator included, diesel added at the Project price</t>
        </is>
      </c>
      <c r="B5" s="20" t="n"/>
      <c r="C5" s="20" t="n"/>
      <c r="D5" s="20" t="n"/>
      <c r="E5" s="20" t="n"/>
      <c r="F5" s="20" t="n"/>
      <c r="G5" s="20" t="n"/>
      <c r="H5" s="20" t="n"/>
      <c r="I5" s="20" t="n"/>
      <c r="J5" s="20" t="n"/>
      <c r="K5" s="20" t="n"/>
    </row>
    <row r="6" ht="30" customHeight="1">
      <c r="A6" s="18" t="inlineStr">
        <is>
          <t>Key</t>
        </is>
      </c>
      <c r="B6" s="18" t="inlineStr">
        <is>
          <t>Resource</t>
        </is>
      </c>
      <c r="C6" s="18" t="inlineStr">
        <is>
          <t>Unit</t>
        </is>
      </c>
      <c r="D6" s="18" t="inlineStr">
        <is>
          <t>Low</t>
        </is>
      </c>
      <c r="E6" s="18" t="inlineStr">
        <is>
          <t>Used</t>
        </is>
      </c>
      <c r="F6" s="18" t="inlineStr">
        <is>
          <t>High</t>
        </is>
      </c>
      <c r="G6" s="18" t="inlineStr">
        <is>
          <t>Fuel L/h</t>
        </is>
      </c>
      <c r="H6" s="18" t="inlineStr">
        <is>
          <t>All-in R/h</t>
        </is>
      </c>
      <c r="I6" s="18" t="inlineStr">
        <is>
          <t>Basis</t>
        </is>
      </c>
      <c r="J6" s="18" t="inlineStr">
        <is>
          <t>Source</t>
        </is>
      </c>
      <c r="K6" s="18" t="inlineStr">
        <is>
          <t>Status</t>
        </is>
      </c>
    </row>
    <row r="7" ht="36" customHeight="1">
      <c r="A7" s="44" t="inlineStr">
        <is>
          <t>grader</t>
        </is>
      </c>
      <c r="B7" s="21" t="inlineStr">
        <is>
          <t>Motor grader (140 class)</t>
        </is>
      </c>
      <c r="C7" t="inlineStr">
        <is>
          <t>h</t>
        </is>
      </c>
      <c r="D7" s="45" t="n">
        <v>380</v>
      </c>
      <c r="E7" s="25" t="n">
        <v>631.13</v>
      </c>
      <c r="F7" s="45" t="n">
        <v>847.0599999999999</v>
      </c>
      <c r="G7" s="25" t="n">
        <v>14.8</v>
      </c>
      <c r="H7" s="26">
        <f>E7+G7*p_diesel</f>
        <v/>
      </c>
      <c r="I7" s="23" t="inlineStr">
        <is>
          <t>Median of three. Fuel: CAT 140M3 medium band 11.1-18.5 L/h, midpoint.</t>
        </is>
      </c>
      <c r="J7" s="23" t="inlineStr">
        <is>
          <t>MACP price list (undated); Emadlangeni LM tariffs 2025/26 (Bell 670G, excl VAT); Siyashesha R7 200 per 8.5 h shift (2025/26)</t>
        </is>
      </c>
      <c r="K7" s="46" t="inlineStr">
        <is>
          <t>Sourced</t>
        </is>
      </c>
    </row>
    <row r="8" ht="36" customHeight="1">
      <c r="A8" s="44" t="inlineStr">
        <is>
          <t>roller</t>
        </is>
      </c>
      <c r="B8" s="21" t="inlineStr">
        <is>
          <t>Vibratory smooth-drum roller 10-13 t</t>
        </is>
      </c>
      <c r="C8" t="inlineStr">
        <is>
          <t>h</t>
        </is>
      </c>
      <c r="D8" s="45" t="n">
        <v>200</v>
      </c>
      <c r="E8" s="25" t="n">
        <v>424</v>
      </c>
      <c r="F8" s="45" t="n">
        <v>610.28</v>
      </c>
      <c r="G8" s="25" t="n">
        <v>13.55</v>
      </c>
      <c r="H8" s="26">
        <f>E8+G8*p_diesel</f>
        <v/>
      </c>
      <c r="I8" s="23" t="inlineStr">
        <is>
          <t>Siyashesha shift rate / 8.5 h. Fuel: CAT CS56B medium band 10.5-16.6 L/h.</t>
        </is>
      </c>
      <c r="J8" s="23" t="inlineStr">
        <is>
          <t>Siyashesha R3 600/shift; MACP R1 700/day; Emadlangeni LM 2025/26 'Big Roller' (2025/26)</t>
        </is>
      </c>
      <c r="K8" s="46" t="inlineStr">
        <is>
          <t>Sourced</t>
        </is>
      </c>
    </row>
    <row r="9" ht="36" customHeight="1">
      <c r="A9" s="44" t="inlineStr">
        <is>
          <t>pneu</t>
        </is>
      </c>
      <c r="B9" s="21" t="inlineStr">
        <is>
          <t>Pneumatic-tyred roller</t>
        </is>
      </c>
      <c r="C9" t="inlineStr">
        <is>
          <t>h</t>
        </is>
      </c>
      <c r="D9" s="45" t="n">
        <v>311.76</v>
      </c>
      <c r="E9" s="25" t="n">
        <v>311.76</v>
      </c>
      <c r="F9" s="45" t="n">
        <v>311.76</v>
      </c>
      <c r="G9" s="25" t="n">
        <v>11.1</v>
      </c>
      <c r="H9" s="26">
        <f>E9+G9*p_diesel</f>
        <v/>
      </c>
      <c r="I9" s="23" t="inlineStr">
        <is>
          <t>MACP R2 650 per day / 8.5 h. Fuel: CAT PS-360C medium band 9.8-12.4 L/h.</t>
        </is>
      </c>
      <c r="J9" s="23" t="inlineStr">
        <is>
          <t>MACP price list (undated)</t>
        </is>
      </c>
      <c r="K9" s="47" t="inlineStr">
        <is>
          <t>Undated</t>
        </is>
      </c>
    </row>
    <row r="10" ht="36" customHeight="1">
      <c r="A10" s="44" t="inlineStr">
        <is>
          <t>watercart</t>
        </is>
      </c>
      <c r="B10" s="21" t="inlineStr">
        <is>
          <t>Water cart 12-18 kL</t>
        </is>
      </c>
      <c r="C10" t="inlineStr">
        <is>
          <t>h</t>
        </is>
      </c>
      <c r="D10" s="45" t="n">
        <v>424</v>
      </c>
      <c r="E10" s="25" t="n">
        <v>529</v>
      </c>
      <c r="F10" s="45" t="n">
        <v>617.72</v>
      </c>
      <c r="G10" s="25" t="n">
        <v>15</v>
      </c>
      <c r="H10" s="26">
        <f>E10+G10*p_diesel</f>
        <v/>
      </c>
      <c r="I10" s="23" t="inlineStr">
        <is>
          <t>Siyashesha 12-18 kL R4 500/shift / 8.5 h. FUEL 15 L/h IS AN ASSUMPTION (no handbook row for trucks).</t>
        </is>
      </c>
      <c r="J10" s="23" t="inlineStr">
        <is>
          <t>Siyashesha; Makana LM 2025/26 tariff book (tanker R617.72/h) (2025/26)</t>
        </is>
      </c>
      <c r="K10" s="47" t="inlineStr">
        <is>
          <t>Assumption</t>
        </is>
      </c>
    </row>
    <row r="11" ht="36" customHeight="1">
      <c r="A11" s="44" t="inlineStr">
        <is>
          <t>excavator</t>
        </is>
      </c>
      <c r="B11" s="21" t="inlineStr">
        <is>
          <t>Excavator 20-30 t</t>
        </is>
      </c>
      <c r="C11" t="inlineStr">
        <is>
          <t>h</t>
        </is>
      </c>
      <c r="D11" s="45" t="n">
        <v>240</v>
      </c>
      <c r="E11" s="25" t="n">
        <v>355</v>
      </c>
      <c r="F11" s="45" t="n">
        <v>659</v>
      </c>
      <c r="G11" s="25" t="n">
        <v>13.6</v>
      </c>
      <c r="H11" s="26">
        <f>E11+G11*p_diesel</f>
        <v/>
      </c>
      <c r="I11" s="23" t="inlineStr">
        <is>
          <t>Median of seven listed rates. Fuel: CAT 320F medium band 10.9-16.3 L/h.</t>
        </is>
      </c>
      <c r="J11" s="23" t="inlineStr">
        <is>
          <t>Winton plant rates; MACP; Siyashesha (21 t R4 200, 30 t R5 600 per shift) (undated)</t>
        </is>
      </c>
      <c r="K11" s="47" t="inlineStr">
        <is>
          <t>Undated</t>
        </is>
      </c>
    </row>
    <row r="12" ht="36" customHeight="1">
      <c r="A12" s="44" t="inlineStr">
        <is>
          <t>dozer</t>
        </is>
      </c>
      <c r="B12" s="21" t="inlineStr">
        <is>
          <t>Bulldozer D6 class</t>
        </is>
      </c>
      <c r="C12" t="inlineStr">
        <is>
          <t>h</t>
        </is>
      </c>
      <c r="D12" s="45" t="n">
        <v>361</v>
      </c>
      <c r="E12" s="25" t="n">
        <v>390</v>
      </c>
      <c r="F12" s="45" t="n">
        <v>418</v>
      </c>
      <c r="G12" s="25" t="n">
        <v>25.55</v>
      </c>
      <c r="H12" s="26">
        <f>E12+G12*p_diesel</f>
        <v/>
      </c>
      <c r="I12" s="23" t="inlineStr">
        <is>
          <t>No current rate found. Fuel: CAT D6T medium band 22.3-28.8 L/h.</t>
        </is>
      </c>
      <c r="J12" s="23" t="inlineStr">
        <is>
          <t>CPHA price list (PDF dated Feb 2011) (02/2011)</t>
        </is>
      </c>
      <c r="K12" s="47" t="inlineStr">
        <is>
          <t>Dated</t>
        </is>
      </c>
    </row>
    <row r="13" ht="36" customHeight="1">
      <c r="A13" s="44" t="inlineStr">
        <is>
          <t>tipper</t>
        </is>
      </c>
      <c r="B13" s="21" t="inlineStr">
        <is>
          <t>Tipper 10 m3, wet (driver and diesel)</t>
        </is>
      </c>
      <c r="C13" t="inlineStr">
        <is>
          <t>h</t>
        </is>
      </c>
      <c r="D13" s="45" t="n">
        <v>950</v>
      </c>
      <c r="E13" s="25" t="n">
        <v>1075</v>
      </c>
      <c r="F13" s="45" t="n">
        <v>1200</v>
      </c>
      <c r="G13" s="25" t="n">
        <v>0</v>
      </c>
      <c r="H13" s="26">
        <f>E13+G13*p_diesel</f>
        <v/>
      </c>
      <c r="I13" s="23" t="inlineStr">
        <is>
          <t>Wet rate: driver and fuel included, so no fuel is added.</t>
        </is>
      </c>
      <c r="J13" s="23" t="inlineStr">
        <is>
          <t>Marcus du Toit, tipper truck hire rates Gauteng (2026 rate card) (05/07/2026)</t>
        </is>
      </c>
      <c r="K13" s="46" t="inlineStr">
        <is>
          <t>Sourced</t>
        </is>
      </c>
    </row>
    <row r="14" ht="36" customHeight="1">
      <c r="A14" s="44" t="inlineStr">
        <is>
          <t>mixer</t>
        </is>
      </c>
      <c r="B14" s="21" t="inlineStr">
        <is>
          <t>Rotary mixer / stabiliser</t>
        </is>
      </c>
      <c r="C14" t="inlineStr">
        <is>
          <t>h</t>
        </is>
      </c>
      <c r="D14" s="45" t="n">
        <v>1020</v>
      </c>
      <c r="E14" s="25" t="n">
        <v>1020</v>
      </c>
      <c r="F14" s="45" t="n">
        <v>1020</v>
      </c>
      <c r="G14" s="25" t="n">
        <v>37.85</v>
      </c>
      <c r="H14" s="26">
        <f>E14+G14*p_diesel</f>
        <v/>
      </c>
      <c r="I14" s="23" t="inlineStr">
        <is>
          <t>Fuel: CAT RM300 medium band 34.1-41.6 L/h.</t>
        </is>
      </c>
      <c r="J14" s="23" t="inlineStr">
        <is>
          <t>MACP price list (undated)</t>
        </is>
      </c>
      <c r="K14" s="47" t="inlineStr">
        <is>
          <t>Undated</t>
        </is>
      </c>
    </row>
    <row r="15" ht="36" customHeight="1">
      <c r="A15" s="44" t="inlineStr">
        <is>
          <t>jack</t>
        </is>
      </c>
      <c r="B15" s="21" t="inlineStr">
        <is>
          <t>Compressor, jackhammer and hoses</t>
        </is>
      </c>
      <c r="C15" t="inlineStr">
        <is>
          <t>h</t>
        </is>
      </c>
      <c r="D15" s="45" t="n"/>
      <c r="E15" s="26">
        <f>2139.74/p_day</f>
        <v/>
      </c>
      <c r="F15" s="45" t="n"/>
      <c r="G15" s="25" t="n">
        <v>0</v>
      </c>
      <c r="H15" s="26">
        <f>E15+G15*p_diesel</f>
        <v/>
      </c>
      <c r="I15" s="23" t="inlineStr">
        <is>
          <t>R1 665.77 + R315.98 + R157.99 per day / working hours. Compressor hired 'without fuel'; its diesel is not added.</t>
        </is>
      </c>
      <c r="J15" s="23" t="inlineStr">
        <is>
          <t>Makana LM 2025/26 tariff book, items (z) compressor, breaker, hoses (2025/26)</t>
        </is>
      </c>
      <c r="K15" s="46" t="inlineStr">
        <is>
          <t>Sourced</t>
        </is>
      </c>
    </row>
    <row r="16" ht="36" customHeight="1">
      <c r="A16" s="44" t="inlineStr">
        <is>
          <t>distributor</t>
        </is>
      </c>
      <c r="B16" s="21" t="inlineStr">
        <is>
          <t>Bitumen distributor (proxy: wet tipper rate)</t>
        </is>
      </c>
      <c r="C16" t="inlineStr">
        <is>
          <t>h</t>
        </is>
      </c>
      <c r="D16" s="45" t="n"/>
      <c r="E16" s="26">
        <f>pl_tipper</f>
        <v/>
      </c>
      <c r="F16" s="45" t="n"/>
      <c r="G16" s="25" t="n">
        <v>0</v>
      </c>
      <c r="H16" s="26">
        <f>E16+G16*p_diesel</f>
        <v/>
      </c>
      <c r="I16" s="23" t="inlineStr">
        <is>
          <t>NO HIRE RATE FOUND. Priced at the wet tipper rate as a stand-in for a truck-mounted sprayer.</t>
        </is>
      </c>
      <c r="J16" s="23" t="inlineStr">
        <is>
          <t>- (-)</t>
        </is>
      </c>
      <c r="K16" s="47" t="inlineStr">
        <is>
          <t>Assumption</t>
        </is>
      </c>
    </row>
    <row r="18">
      <c r="A18" s="19" t="inlineStr">
        <is>
          <t>LABOUR - R per hour, loaded</t>
        </is>
      </c>
      <c r="B18" s="20" t="n"/>
      <c r="C18" s="20" t="n"/>
      <c r="D18" s="20" t="n"/>
      <c r="E18" s="20" t="n"/>
      <c r="F18" s="20" t="n"/>
      <c r="G18" s="20" t="n"/>
      <c r="H18" s="20" t="n"/>
      <c r="I18" s="20" t="n"/>
      <c r="J18" s="20" t="n"/>
      <c r="K18" s="20" t="n"/>
    </row>
    <row r="19" ht="30" customHeight="1">
      <c r="A19" s="18" t="inlineStr">
        <is>
          <t>Key</t>
        </is>
      </c>
      <c r="B19" s="18" t="inlineStr">
        <is>
          <t>Resource</t>
        </is>
      </c>
      <c r="C19" s="18" t="inlineStr">
        <is>
          <t>Unit</t>
        </is>
      </c>
      <c r="D19" s="18" t="inlineStr">
        <is>
          <t>Low</t>
        </is>
      </c>
      <c r="E19" s="18" t="inlineStr">
        <is>
          <t>Used</t>
        </is>
      </c>
      <c r="F19" s="18" t="inlineStr">
        <is>
          <t>High</t>
        </is>
      </c>
      <c r="G19" s="18" t="inlineStr"/>
      <c r="H19" s="18" t="inlineStr"/>
      <c r="I19" s="18" t="inlineStr">
        <is>
          <t>Basis</t>
        </is>
      </c>
      <c r="J19" s="18" t="inlineStr">
        <is>
          <t>Source</t>
        </is>
      </c>
      <c r="K19" s="18" t="inlineStr">
        <is>
          <t>Status</t>
        </is>
      </c>
    </row>
    <row r="20" ht="24" customHeight="1">
      <c r="A20" s="44" t="inlineStr">
        <is>
          <t>labourer</t>
        </is>
      </c>
      <c r="B20" s="21" t="inlineStr">
        <is>
          <t>General labourer (loaded)</t>
        </is>
      </c>
      <c r="C20" t="inlineStr">
        <is>
          <t>h</t>
        </is>
      </c>
      <c r="D20" s="45" t="n">
        <v>40.53</v>
      </c>
      <c r="E20" s="25" t="n">
        <v>40.53</v>
      </c>
      <c r="F20" s="45" t="n">
        <v>40.53</v>
      </c>
      <c r="I20" s="23" t="inlineStr">
        <is>
          <t>BIBC base R31.18/h + 30% employer on-cost</t>
        </is>
      </c>
      <c r="J20" s="23" t="inlineStr">
        <is>
          <t>Setout rate library 09/2026, Labour sheet (BIBC wage schedule) (05/2026)</t>
        </is>
      </c>
      <c r="K20" s="46" t="inlineStr">
        <is>
          <t>Sourced</t>
        </is>
      </c>
    </row>
    <row r="21" ht="24" customHeight="1">
      <c r="A21" s="44" t="inlineStr">
        <is>
          <t>artisan</t>
        </is>
      </c>
      <c r="B21" s="21" t="inlineStr">
        <is>
          <t>Artisan / painter (loaded)</t>
        </is>
      </c>
      <c r="C21" t="inlineStr">
        <is>
          <t>h</t>
        </is>
      </c>
      <c r="D21" s="45" t="n">
        <v>144.46</v>
      </c>
      <c r="E21" s="25" t="n">
        <v>144.46</v>
      </c>
      <c r="F21" s="45" t="n">
        <v>144.46</v>
      </c>
      <c r="I21" s="23" t="inlineStr">
        <is>
          <t>BIBC base R111.12/h + 30% employer on-cost</t>
        </is>
      </c>
      <c r="J21" s="23" t="inlineStr">
        <is>
          <t>Setout rate library 09/2026, Labour sheet (BIBC wage schedule) (05/2026)</t>
        </is>
      </c>
      <c r="K21" s="46" t="inlineStr">
        <is>
          <t>Sourced</t>
        </is>
      </c>
    </row>
    <row r="22" ht="24" customHeight="1">
      <c r="A22" s="44" t="inlineStr">
        <is>
          <t>survtech</t>
        </is>
      </c>
      <c r="B22" s="21" t="inlineStr">
        <is>
          <t>Survey technician (supervised technical staff)</t>
        </is>
      </c>
      <c r="C22" t="inlineStr">
        <is>
          <t>h</t>
        </is>
      </c>
      <c r="D22" s="45" t="n">
        <v>1040</v>
      </c>
      <c r="E22" s="25" t="n">
        <v>1040</v>
      </c>
      <c r="F22" s="45" t="n">
        <v>1040</v>
      </c>
      <c r="I22" s="23" t="inlineStr">
        <is>
          <t>Cap for supervised technical staff in the draft tariff</t>
        </is>
      </c>
      <c r="J22" s="23" t="inlineStr">
        <is>
          <t>SAGC draft tariff of fees, Board Notice 203 of 2019 (Gazette 42902) (13/12/2019)</t>
        </is>
      </c>
      <c r="K22" s="47" t="inlineStr">
        <is>
          <t>Dated</t>
        </is>
      </c>
    </row>
    <row r="24">
      <c r="A24" s="19" t="inlineStr">
        <is>
          <t>MATERIALS - R per unit</t>
        </is>
      </c>
      <c r="B24" s="20" t="n"/>
      <c r="C24" s="20" t="n"/>
      <c r="D24" s="20" t="n"/>
      <c r="E24" s="20" t="n"/>
      <c r="F24" s="20" t="n"/>
      <c r="G24" s="20" t="n"/>
      <c r="H24" s="20" t="n"/>
      <c r="I24" s="20" t="n"/>
      <c r="J24" s="20" t="n"/>
      <c r="K24" s="20" t="n"/>
    </row>
    <row r="25" ht="30" customHeight="1">
      <c r="A25" s="18" t="inlineStr">
        <is>
          <t>Key</t>
        </is>
      </c>
      <c r="B25" s="18" t="inlineStr">
        <is>
          <t>Resource</t>
        </is>
      </c>
      <c r="C25" s="18" t="inlineStr">
        <is>
          <t>Unit</t>
        </is>
      </c>
      <c r="D25" s="18" t="inlineStr">
        <is>
          <t>Low</t>
        </is>
      </c>
      <c r="E25" s="18" t="inlineStr">
        <is>
          <t>Used</t>
        </is>
      </c>
      <c r="F25" s="18" t="inlineStr">
        <is>
          <t>High</t>
        </is>
      </c>
      <c r="G25" s="18" t="inlineStr"/>
      <c r="H25" s="18" t="inlineStr"/>
      <c r="I25" s="18" t="inlineStr">
        <is>
          <t>Basis</t>
        </is>
      </c>
      <c r="J25" s="18" t="inlineStr">
        <is>
          <t>Source</t>
        </is>
      </c>
      <c r="K25" s="18" t="inlineStr">
        <is>
          <t>Status</t>
        </is>
      </c>
    </row>
    <row r="26" ht="36" customHeight="1">
      <c r="A26" s="44" t="inlineStr">
        <is>
          <t>g5</t>
        </is>
      </c>
      <c r="B26" s="21" t="inlineStr">
        <is>
          <t>G5 subbase material, collected (per loose m3)</t>
        </is>
      </c>
      <c r="C26" t="inlineStr">
        <is>
          <t>m3</t>
        </is>
      </c>
      <c r="D26" s="45" t="n">
        <v>90.43000000000001</v>
      </c>
      <c r="E26" s="25" t="n">
        <v>168.7</v>
      </c>
      <c r="F26" s="45" t="n">
        <v>230.43</v>
      </c>
      <c r="I26" s="23" t="inlineStr">
        <is>
          <t>Gomes Sand G5 40 mm R194 incl VAT, verified 28/09/2026</t>
        </is>
      </c>
      <c r="J26" s="23" t="inlineStr">
        <is>
          <t>Setout rate library 09/2026, Resources (Platinum, Gomes, Binclean) (28/09/2026)</t>
        </is>
      </c>
      <c r="K26" s="46" t="inlineStr">
        <is>
          <t>Sourced</t>
        </is>
      </c>
    </row>
    <row r="27" ht="36" customHeight="1">
      <c r="A27" s="44" t="inlineStr">
        <is>
          <t>g2</t>
        </is>
      </c>
      <c r="B27" s="21" t="inlineStr">
        <is>
          <t>G1/G2 graded crushed stone, collected (per loose m3)</t>
        </is>
      </c>
      <c r="C27" t="inlineStr">
        <is>
          <t>m3</t>
        </is>
      </c>
      <c r="D27" s="45" t="n">
        <v>156.96</v>
      </c>
      <c r="E27" s="25" t="n">
        <v>225.22</v>
      </c>
      <c r="F27" s="45" t="n">
        <v>225.22</v>
      </c>
      <c r="I27" s="23" t="inlineStr">
        <is>
          <t>Gomes Sand G1 40 mm R259 incl VAT, verified 28/09/2026</t>
        </is>
      </c>
      <c r="J27" s="23" t="inlineStr">
        <is>
          <t>Setout rate library 09/2026, Resources (Platinum, Gomes) (28/09/2026)</t>
        </is>
      </c>
      <c r="K27" s="46" t="inlineStr">
        <is>
          <t>Sourced</t>
        </is>
      </c>
    </row>
    <row r="28" ht="36" customHeight="1">
      <c r="A28" s="44" t="inlineStr">
        <is>
          <t>rock</t>
        </is>
      </c>
      <c r="B28" s="21" t="inlineStr">
        <is>
          <t>Dump rock / G9 rock fill, collected (per ton)</t>
        </is>
      </c>
      <c r="C28" t="inlineStr">
        <is>
          <t>t</t>
        </is>
      </c>
      <c r="D28" s="45" t="n">
        <v>60</v>
      </c>
      <c r="E28" s="25" t="n">
        <v>150</v>
      </c>
      <c r="F28" s="45" t="n">
        <v>150</v>
      </c>
      <c r="I28" s="23" t="inlineStr">
        <is>
          <t>Stockville G9 R150/t excl VAT, collected; page gives 1.55 t per m3</t>
        </is>
      </c>
      <c r="J28" s="23" t="inlineStr">
        <is>
          <t>Stockville Quarries price list (Jan 2026); Platinum Aggregates (undated) (01/2026)</t>
        </is>
      </c>
      <c r="K28" s="46" t="inlineStr">
        <is>
          <t>Sourced</t>
        </is>
      </c>
    </row>
    <row r="29" ht="36" customHeight="1">
      <c r="A29" s="44" t="inlineStr">
        <is>
          <t>cement</t>
        </is>
      </c>
      <c r="B29" s="21" t="inlineStr">
        <is>
          <t>Cement 42.5N, 50 kg bag</t>
        </is>
      </c>
      <c r="C29" t="inlineStr">
        <is>
          <t>bag</t>
        </is>
      </c>
      <c r="D29" s="45" t="n">
        <v>111.3</v>
      </c>
      <c r="E29" s="25" t="n">
        <v>123.72</v>
      </c>
      <c r="F29" s="45" t="n">
        <v>131.3</v>
      </c>
      <c r="I29" s="23" t="inlineStr">
        <is>
          <t>Mean of three merchants. Bagged price: no bulk road-cement price was found.</t>
        </is>
      </c>
      <c r="J29" s="23" t="inlineStr">
        <is>
          <t>Setout rate library 09/2026, Resources (Builders, Buildmate, Cashbuild) (28/09/2026)</t>
        </is>
      </c>
      <c r="K29" s="46" t="inlineStr">
        <is>
          <t>Sourced</t>
        </is>
      </c>
    </row>
    <row r="30" ht="36" customHeight="1">
      <c r="A30" s="44" t="inlineStr">
        <is>
          <t>mc30</t>
        </is>
      </c>
      <c r="B30" s="21" t="inlineStr">
        <is>
          <t>MC-30 cutback prime, 200 L drum (per L)</t>
        </is>
      </c>
      <c r="C30" t="inlineStr">
        <is>
          <t>L</t>
        </is>
      </c>
      <c r="D30" s="45" t="n">
        <v>21.75</v>
      </c>
      <c r="E30" s="25" t="n">
        <v>21.75</v>
      </c>
      <c r="F30" s="45" t="n">
        <v>21.75</v>
      </c>
      <c r="I30" s="23" t="inlineStr">
        <is>
          <t>R4 350 per 200 L. VAT not stated on the page; taken as excl.</t>
        </is>
      </c>
      <c r="J30" s="23" t="inlineStr">
        <is>
          <t>Kalahari Bitumen product page (undated)</t>
        </is>
      </c>
      <c r="K30" s="47" t="inlineStr">
        <is>
          <t>Undated</t>
        </is>
      </c>
    </row>
    <row r="31" ht="36" customHeight="1">
      <c r="A31" s="44" t="inlineStr">
        <is>
          <t>ss60</t>
        </is>
      </c>
      <c r="B31" s="21" t="inlineStr">
        <is>
          <t>SS60 anionic emulsion tack, 200 L drum (per L)</t>
        </is>
      </c>
      <c r="C31" t="inlineStr">
        <is>
          <t>L</t>
        </is>
      </c>
      <c r="D31" s="45" t="n">
        <v>14.58</v>
      </c>
      <c r="E31" s="25" t="n">
        <v>14.58</v>
      </c>
      <c r="F31" s="45" t="n">
        <v>18</v>
      </c>
      <c r="I31" s="23" t="inlineStr">
        <is>
          <t>Actop R2 916 per 200 L excl VAT; Inframat JHB/PTA R3 600 per drum</t>
        </is>
      </c>
      <c r="J31" s="23" t="inlineStr">
        <is>
          <t>Actop product page; Inframat product page (undated)</t>
        </is>
      </c>
      <c r="K31" s="47" t="inlineStr">
        <is>
          <t>Undated</t>
        </is>
      </c>
    </row>
    <row r="32" ht="36" customHeight="1">
      <c r="A32" s="44" t="inlineStr">
        <is>
          <t>paint</t>
        </is>
      </c>
      <c r="B32" s="21" t="inlineStr">
        <is>
          <t>Road marking paint, white, solvent (per L)</t>
        </is>
      </c>
      <c r="C32" t="inlineStr">
        <is>
          <t>L</t>
        </is>
      </c>
      <c r="D32" s="45" t="n">
        <v>112.25</v>
      </c>
      <c r="E32" s="25" t="n">
        <v>124.63</v>
      </c>
      <c r="F32" s="45" t="n">
        <v>137</v>
      </c>
      <c r="I32" s="23" t="inlineStr">
        <is>
          <t>Paintalot R2 245 / 20 L; Rhinoluxe SABS 731-1 R2 740 / 20 L. VAT not stated.</t>
        </is>
      </c>
      <c r="J32" s="23" t="inlineStr">
        <is>
          <t>Paintalot; Rhinoluxe product pages (undated)</t>
        </is>
      </c>
      <c r="K32" s="47" t="inlineStr">
        <is>
          <t>Undated</t>
        </is>
      </c>
    </row>
    <row r="33" ht="36" customHeight="1">
      <c r="A33" s="44" t="inlineStr">
        <is>
          <t>stop</t>
        </is>
      </c>
      <c r="B33" s="21" t="inlineStr">
        <is>
          <t>R1 stop sign 900 mm Chromadek, sign only</t>
        </is>
      </c>
      <c r="C33" t="inlineStr">
        <is>
          <t>No</t>
        </is>
      </c>
      <c r="D33" s="45" t="n">
        <v>646.88</v>
      </c>
      <c r="E33" s="25" t="n">
        <v>900.4299999999999</v>
      </c>
      <c r="F33" s="45" t="n">
        <v>959.35</v>
      </c>
      <c r="I33" s="23" t="inlineStr">
        <is>
          <t>R1 035.50 incl VAT / 1.15; poles quoted separately</t>
        </is>
      </c>
      <c r="J33" s="23" t="inlineStr">
        <is>
          <t>Safety Sign Online R1 product page; Printex (undated)</t>
        </is>
      </c>
      <c r="K33" s="47" t="inlineStr">
        <is>
          <t>Undated</t>
        </is>
      </c>
    </row>
    <row r="34" ht="36" customHeight="1">
      <c r="A34" s="44" t="inlineStr">
        <is>
          <t>yield</t>
        </is>
      </c>
      <c r="B34" s="21" t="inlineStr">
        <is>
          <t>R2 yield sign 900 mm, sign only</t>
        </is>
      </c>
      <c r="C34" t="inlineStr">
        <is>
          <t>No</t>
        </is>
      </c>
      <c r="D34" s="45" t="n">
        <v>380.43</v>
      </c>
      <c r="E34" s="25" t="n">
        <v>380.43</v>
      </c>
      <c r="F34" s="45" t="n">
        <v>430</v>
      </c>
      <c r="I34" s="23" t="inlineStr">
        <is>
          <t>R437.50 incl VAT / 1.15</t>
        </is>
      </c>
      <c r="J34" s="23" t="inlineStr">
        <is>
          <t>Safety Sign Online R2 product page (undated)</t>
        </is>
      </c>
      <c r="K34" s="47" t="inlineStr">
        <is>
          <t>Undated</t>
        </is>
      </c>
    </row>
    <row r="35" ht="36" customHeight="1">
      <c r="A35" s="44" t="inlineStr">
        <is>
          <t>concrete</t>
        </is>
      </c>
      <c r="B35" s="21" t="inlineStr">
        <is>
          <t>Concrete 25 MPa, placed (sign footing)</t>
        </is>
      </c>
      <c r="C35" t="inlineStr">
        <is>
          <t>m3</t>
        </is>
      </c>
      <c r="D35" s="45" t="n">
        <v>1750</v>
      </c>
      <c r="E35" s="25" t="n">
        <v>2425</v>
      </c>
      <c r="F35" s="45" t="n">
        <v>3100</v>
      </c>
      <c r="I35" s="23" t="inlineStr">
        <is>
          <t>Midpoint of the Setout benchmark range</t>
        </is>
      </c>
      <c r="J35" s="23" t="inlineStr">
        <is>
          <t>Setout rate benchmarks (Master build-up 2026) (2026)</t>
        </is>
      </c>
      <c r="K35" s="46" t="inlineStr">
        <is>
          <t>Sourced</t>
        </is>
      </c>
    </row>
    <row r="36" ht="36" customHeight="1">
      <c r="A36" s="44" t="inlineStr">
        <is>
          <t>pole</t>
        </is>
      </c>
      <c r="B36" s="21" t="inlineStr">
        <is>
          <t>Galvanised 76 mm round post (stand-in for a sign pole), no clamps</t>
        </is>
      </c>
      <c r="C36" t="inlineStr">
        <is>
          <t>No</t>
        </is>
      </c>
      <c r="D36" s="45" t="n">
        <v>395</v>
      </c>
      <c r="E36" s="25" t="n">
        <v>395</v>
      </c>
      <c r="F36" s="45" t="n">
        <v>395</v>
      </c>
      <c r="I36" s="23" t="inlineStr">
        <is>
          <t>Sold as a carport post; length not stated; VAT not stated. Not a purpose-made sign pole.</t>
        </is>
      </c>
      <c r="J36" s="23" t="inlineStr">
        <is>
          <t>Ahmedia Hardware product page (2025)</t>
        </is>
      </c>
      <c r="K36" s="47" t="inlineStr">
        <is>
          <t>Undated</t>
        </is>
      </c>
    </row>
    <row r="37" ht="36" customHeight="1">
      <c r="A37" s="44" t="inlineStr">
        <is>
          <t>streetname</t>
        </is>
      </c>
      <c r="B37" s="21" t="inlineStr">
        <is>
          <t>Street name sign, supplied</t>
        </is>
      </c>
      <c r="C37" t="inlineStr">
        <is>
          <t>No</t>
        </is>
      </c>
      <c r="D37" s="45" t="n"/>
      <c r="E37" s="48" t="n"/>
      <c r="F37" s="45" t="n"/>
      <c r="I37" s="23" t="inlineStr">
        <is>
          <t>NO PRICE FOUND. Enter a supplier quote.</t>
        </is>
      </c>
      <c r="J37" s="23" t="inlineStr">
        <is>
          <t>- (-)</t>
        </is>
      </c>
      <c r="K37" s="49" t="inlineStr">
        <is>
          <t>Quote needed</t>
        </is>
      </c>
    </row>
    <row r="38" ht="36" customHeight="1">
      <c r="A38" s="44" t="inlineStr">
        <is>
          <t>asphalt</t>
        </is>
      </c>
      <c r="B38" s="21" t="inlineStr">
        <is>
          <t>30 mm continuously graded asphalt, supplied and laid</t>
        </is>
      </c>
      <c r="C38" t="inlineStr">
        <is>
          <t>m2</t>
        </is>
      </c>
      <c r="D38" s="45" t="n"/>
      <c r="E38" s="48" t="n"/>
      <c r="F38" s="45" t="n"/>
      <c r="I38" s="23" t="inlineStr">
        <is>
          <t>NO PRICE FOUND (no published per-ton or per-m2 rate). Enter an asphalt subcontract quote.</t>
        </is>
      </c>
      <c r="J38" s="23" t="inlineStr">
        <is>
          <t>- (-)</t>
        </is>
      </c>
      <c r="K38" s="49" t="inlineStr">
        <is>
          <t>Quote needed</t>
        </is>
      </c>
    </row>
    <row r="40">
      <c r="A40" s="19" t="inlineStr">
        <is>
          <t>OUTPUTS - production per hour, quoted from the source (already below rated output)</t>
        </is>
      </c>
      <c r="B40" s="20" t="n"/>
      <c r="C40" s="20" t="n"/>
      <c r="D40" s="20" t="n"/>
      <c r="E40" s="20" t="n"/>
      <c r="F40" s="20" t="n"/>
      <c r="G40" s="20" t="n"/>
      <c r="H40" s="20" t="n"/>
      <c r="I40" s="20" t="n"/>
      <c r="J40" s="20" t="n"/>
      <c r="K40" s="20" t="n"/>
    </row>
    <row r="41" ht="30" customHeight="1">
      <c r="A41" s="18" t="inlineStr">
        <is>
          <t>Key</t>
        </is>
      </c>
      <c r="B41" s="18" t="inlineStr">
        <is>
          <t>Activity</t>
        </is>
      </c>
      <c r="C41" s="18" t="inlineStr">
        <is>
          <t>Unit</t>
        </is>
      </c>
      <c r="D41" s="18" t="inlineStr">
        <is>
          <t>Value</t>
        </is>
      </c>
      <c r="E41" s="18" t="inlineStr"/>
      <c r="F41" s="18" t="inlineStr"/>
      <c r="G41" s="18" t="inlineStr"/>
      <c r="H41" s="18" t="inlineStr"/>
      <c r="I41" s="18" t="inlineStr">
        <is>
          <t>Source</t>
        </is>
      </c>
      <c r="J41" s="18" t="inlineStr"/>
      <c r="K41" s="18" t="inlineStr"/>
    </row>
    <row r="42">
      <c r="A42" s="44" t="inlineStr">
        <is>
          <t>o_clear</t>
        </is>
      </c>
      <c r="B42" s="21" t="inlineStr">
        <is>
          <t>Clear and grub, light bush, 175 hp dozer</t>
        </is>
      </c>
      <c r="C42" t="inlineStr">
        <is>
          <t>m2/h</t>
        </is>
      </c>
      <c r="D42" s="50">
        <f>10000/9.709</f>
        <v/>
      </c>
      <c r="I42" s="23" t="inlineStr">
        <is>
          <t>MoRTH Standard Data Book (2019) item 2.03(ii)A, p.27: 9.709 h per ha</t>
        </is>
      </c>
    </row>
    <row r="43">
      <c r="A43" s="44" t="inlineStr">
        <is>
          <t>o_strip</t>
        </is>
      </c>
      <c r="B43" s="21" t="inlineStr">
        <is>
          <t>Strip and stockpile topsoil, grader 3.7 m blade</t>
        </is>
      </c>
      <c r="C43" t="inlineStr">
        <is>
          <t>m3/h</t>
        </is>
      </c>
      <c r="D43" s="50">
        <f>250/2.316</f>
        <v/>
      </c>
      <c r="I43" s="23" t="inlineStr">
        <is>
          <t>MoRTH SDB item 3.21, p.72: 2.316 h per 250 m3</t>
        </is>
      </c>
    </row>
    <row r="44">
      <c r="A44" s="44" t="inlineStr">
        <is>
          <t>o_exc</t>
        </is>
      </c>
      <c r="B44" s="21" t="inlineStr">
        <is>
          <t>Excavator 1.2 m3 loading tippers</t>
        </is>
      </c>
      <c r="C44" t="inlineStr">
        <is>
          <t>m3/h</t>
        </is>
      </c>
      <c r="D44" s="50">
        <f>450/6.009</f>
        <v/>
      </c>
      <c r="I44" s="23" t="inlineStr">
        <is>
          <t>MoRTH SDB item 3.18, p.69: 6.009 h per 450 m3</t>
        </is>
      </c>
    </row>
    <row r="45">
      <c r="A45" s="44" t="inlineStr">
        <is>
          <t>o_rip</t>
        </is>
      </c>
      <c r="B45" s="21" t="inlineStr">
        <is>
          <t>Ripping intermediate material, 175 hp dozer</t>
        </is>
      </c>
      <c r="C45" t="inlineStr">
        <is>
          <t>m3/h</t>
        </is>
      </c>
      <c r="D45" s="50">
        <f>300/8.333</f>
        <v/>
      </c>
      <c r="I45" s="23" t="inlineStr">
        <is>
          <t>MoRTH SDB item 3.04, p.50: 8.333 h per 300 m3 ('ordinary rock')</t>
        </is>
      </c>
    </row>
    <row r="46">
      <c r="A46" s="44" t="inlineStr">
        <is>
          <t>o_rock</t>
        </is>
      </c>
      <c r="B46" s="21" t="inlineStr">
        <is>
          <t>Hard rock, excavator with jackhammers (no blasting)</t>
        </is>
      </c>
      <c r="C46" t="inlineStr">
        <is>
          <t>m3/h</t>
        </is>
      </c>
      <c r="D46" s="50">
        <f>50/10.159</f>
        <v/>
      </c>
      <c r="I46" s="23" t="inlineStr">
        <is>
          <t>MoRTH SDB item 3.08A, p.54: 10.159 h per 50 m3</t>
        </is>
      </c>
    </row>
    <row r="47">
      <c r="A47" s="44" t="inlineStr">
        <is>
          <t>o_gfill</t>
        </is>
      </c>
      <c r="B47" s="21" t="inlineStr">
        <is>
          <t>Grader spreading fill</t>
        </is>
      </c>
      <c r="C47" t="inlineStr">
        <is>
          <t>m3/h</t>
        </is>
      </c>
      <c r="D47" s="50">
        <f>450/3.002</f>
        <v/>
      </c>
      <c r="I47" s="23" t="inlineStr">
        <is>
          <t>MoRTH SDB item 3.17, p.68</t>
        </is>
      </c>
    </row>
    <row r="48">
      <c r="A48" s="44" t="inlineStr">
        <is>
          <t>o_ggsb</t>
        </is>
      </c>
      <c r="B48" s="21" t="inlineStr">
        <is>
          <t>Grader spreading and shaping a granular layer</t>
        </is>
      </c>
      <c r="C48" t="inlineStr">
        <is>
          <t>m3/h</t>
        </is>
      </c>
      <c r="D48" s="50">
        <f>400/4.447</f>
        <v/>
      </c>
      <c r="I48" s="23" t="inlineStr">
        <is>
          <t>MoRTH SDB item 4.01A, p.85</t>
        </is>
      </c>
    </row>
    <row r="49">
      <c r="A49" s="44" t="inlineStr">
        <is>
          <t>o_rfill</t>
        </is>
      </c>
      <c r="B49" s="21" t="inlineStr">
        <is>
          <t>Vibratory roller, fill</t>
        </is>
      </c>
      <c r="C49" t="inlineStr">
        <is>
          <t>m3/h</t>
        </is>
      </c>
      <c r="D49" s="50">
        <f>450/2.601</f>
        <v/>
      </c>
      <c r="I49" s="23" t="inlineStr">
        <is>
          <t>MoRTH SDB item 3.17, p.68</t>
        </is>
      </c>
    </row>
    <row r="50">
      <c r="A50" s="44" t="inlineStr">
        <is>
          <t>o_rgsb</t>
        </is>
      </c>
      <c r="B50" s="21" t="inlineStr">
        <is>
          <t>Vibratory roller, granular layer</t>
        </is>
      </c>
      <c r="C50" t="inlineStr">
        <is>
          <t>m3/h</t>
        </is>
      </c>
      <c r="D50" s="50">
        <f>400/3.077</f>
        <v/>
      </c>
      <c r="I50" s="23" t="inlineStr">
        <is>
          <t>MoRTH SDB item 4.01A, p.85</t>
        </is>
      </c>
    </row>
    <row r="51">
      <c r="A51" s="44" t="inlineStr">
        <is>
          <t>o_water</t>
        </is>
      </c>
      <c r="B51" s="21" t="inlineStr">
        <is>
          <t>Compaction water</t>
        </is>
      </c>
      <c r="C51" t="inlineStr">
        <is>
          <t>L/m3</t>
        </is>
      </c>
      <c r="D51" s="50">
        <f>36000/450</f>
        <v/>
      </c>
      <c r="I51" s="23" t="inlineStr">
        <is>
          <t>MoRTH SDB item 3.17, p.68: 36 kL per 450 m3</t>
        </is>
      </c>
    </row>
    <row r="52">
      <c r="A52" s="44" t="inlineStr">
        <is>
          <t>o_wcart</t>
        </is>
      </c>
      <c r="B52" s="21" t="inlineStr">
        <is>
          <t>Water cart time per m3 (16 kL)</t>
        </is>
      </c>
      <c r="C52" t="inlineStr">
        <is>
          <t>h/m3</t>
        </is>
      </c>
      <c r="D52" s="50">
        <f>(0.5*p_water_km+0.864)/450</f>
        <v/>
      </c>
      <c r="I52" s="23" t="inlineStr">
        <is>
          <t>MoRTH SDB item 3.17, p.68: (0.5 x lead km + 0.864) h per 450 m3</t>
        </is>
      </c>
    </row>
    <row r="53">
      <c r="A53" s="44" t="inlineStr">
        <is>
          <t>o_mix</t>
        </is>
      </c>
      <c r="B53" s="21" t="inlineStr">
        <is>
          <t>Rotary mixer, 150 mm layer at 6 m/min</t>
        </is>
      </c>
      <c r="C53" t="inlineStr">
        <is>
          <t>m3/h</t>
        </is>
      </c>
      <c r="D53" s="50">
        <f>2.2*60*0.83</f>
        <v/>
      </c>
      <c r="I53" s="23" t="inlineStr">
        <is>
          <t>CAT Performance Handbook 49, p.13-11 (2.2 m3/min) x 0.83 job efficiency (p.7-250)</t>
        </is>
      </c>
    </row>
    <row r="54">
      <c r="A54" s="44" t="inlineStr">
        <is>
          <t>o_trim</t>
        </is>
      </c>
      <c r="B54" s="21" t="inlineStr">
        <is>
          <t>Grader trimming a stabilised layer</t>
        </is>
      </c>
      <c r="C54" t="inlineStr">
        <is>
          <t>m3/h</t>
        </is>
      </c>
      <c r="D54" s="50">
        <f>300/3.335</f>
        <v/>
      </c>
      <c r="I54" s="23" t="inlineStr">
        <is>
          <t>MoRTH SDB item 4.03A, p.96</t>
        </is>
      </c>
    </row>
    <row r="55">
      <c r="A55" s="44" t="inlineStr">
        <is>
          <t>o_spray</t>
        </is>
      </c>
      <c r="B55" s="21" t="inlineStr">
        <is>
          <t>Bitumen distributor spraying</t>
        </is>
      </c>
      <c r="C55" t="inlineStr">
        <is>
          <t>m2/h</t>
        </is>
      </c>
      <c r="D55" s="50">
        <f>7000/1.944</f>
        <v/>
      </c>
      <c r="I55" s="23" t="inlineStr">
        <is>
          <t>MoRTH SDB items 5.01/5.02, p.135</t>
        </is>
      </c>
    </row>
    <row r="56">
      <c r="A56" s="44" t="inlineStr">
        <is>
          <t>o_paint</t>
        </is>
      </c>
      <c r="B56" s="21" t="inlineStr">
        <is>
          <t>Road paint, two coats</t>
        </is>
      </c>
      <c r="C56" t="inlineStr">
        <is>
          <t>L/m2</t>
        </is>
      </c>
      <c r="D56" s="50">
        <f>1.48/10</f>
        <v/>
      </c>
      <c r="I56" s="23" t="inlineStr">
        <is>
          <t>MoRTH SDB item 8.11, p.292: 1.48 L per 10 m2</t>
        </is>
      </c>
    </row>
    <row r="57">
      <c r="A57" s="44" t="inlineStr">
        <is>
          <t>o_painter</t>
        </is>
      </c>
      <c r="B57" s="21" t="inlineStr">
        <is>
          <t>Painter time, lines over 100 mm</t>
        </is>
      </c>
      <c r="C57" t="inlineStr">
        <is>
          <t>day/m2</t>
        </is>
      </c>
      <c r="D57" s="50">
        <f>0.732/10</f>
        <v/>
      </c>
      <c r="I57" s="23" t="inlineStr">
        <is>
          <t>MoRTH SDB item 8.11(i), p.292</t>
        </is>
      </c>
    </row>
    <row r="58">
      <c r="A58" s="44" t="inlineStr">
        <is>
          <t>o_paintlab</t>
        </is>
      </c>
      <c r="B58" s="21" t="inlineStr">
        <is>
          <t>Labourer time, lines over 100 mm</t>
        </is>
      </c>
      <c r="C58" t="inlineStr">
        <is>
          <t>day/m2</t>
        </is>
      </c>
      <c r="D58" s="50">
        <f>(2.062+0.112)/10</f>
        <v/>
      </c>
      <c r="I58" s="23" t="inlineStr">
        <is>
          <t>MoRTH SDB item 8.11(i), p.292 (mazdoor + mate)</t>
        </is>
      </c>
    </row>
    <row r="59">
      <c r="A59" s="44" t="inlineStr">
        <is>
          <t>o_signlab</t>
        </is>
      </c>
      <c r="B59" s="21" t="inlineStr">
        <is>
          <t>Erect a road sign</t>
        </is>
      </c>
      <c r="C59" t="inlineStr">
        <is>
          <t>day/No</t>
        </is>
      </c>
      <c r="D59" s="50">
        <f>0.25+0.01</f>
        <v/>
      </c>
      <c r="I59" s="23" t="inlineStr">
        <is>
          <t>MoRTH SDB item 8.04, p.277 (labourer + mate)</t>
        </is>
      </c>
    </row>
    <row r="60">
      <c r="A60" s="44" t="inlineStr">
        <is>
          <t>o_signconc</t>
        </is>
      </c>
      <c r="B60" s="21" t="inlineStr">
        <is>
          <t>Sign footing concrete</t>
        </is>
      </c>
      <c r="C60" t="inlineStr">
        <is>
          <t>m3/No</t>
        </is>
      </c>
      <c r="D60" s="50" t="n">
        <v>0.122</v>
      </c>
      <c r="I60" s="23" t="inlineStr">
        <is>
          <t>MoRTH SDB item 8.04, p.277</t>
        </is>
      </c>
    </row>
    <row r="61">
      <c r="A61" s="44" t="inlineStr">
        <is>
          <t>o_setout</t>
        </is>
      </c>
      <c r="B61" s="21" t="inlineStr">
        <is>
          <t>Setting out the road, survey team</t>
        </is>
      </c>
      <c r="C61" t="inlineStr">
        <is>
          <t>km/day</t>
        </is>
      </c>
      <c r="D61" s="50" t="n">
        <v>1</v>
      </c>
      <c r="I61" s="23" t="inlineStr">
        <is>
          <t>ASSUMPTION - no published output found. Team: one technician and two labourers.</t>
        </is>
      </c>
      <c r="K61" s="47" t="inlineStr">
        <is>
          <t>Assumption</t>
        </is>
      </c>
    </row>
    <row r="62">
      <c r="A62" s="44" t="inlineStr">
        <is>
          <t>o_tipcap</t>
        </is>
      </c>
      <c r="B62" s="21" t="inlineStr">
        <is>
          <t>Tipper body capacity</t>
        </is>
      </c>
      <c r="C62" t="inlineStr">
        <is>
          <t>m3 loose</t>
        </is>
      </c>
      <c r="D62" s="50" t="n">
        <v>10</v>
      </c>
      <c r="I62" s="23" t="inlineStr">
        <is>
          <t>Tipper class used for the hire rate</t>
        </is>
      </c>
    </row>
    <row r="63">
      <c r="A63" s="44" t="inlineStr">
        <is>
          <t>o_vsl</t>
        </is>
      </c>
      <c r="B63" s="21" t="inlineStr">
        <is>
          <t>Tipper speed loaded, site haul road</t>
        </is>
      </c>
      <c r="C63" t="inlineStr">
        <is>
          <t>km/h</t>
        </is>
      </c>
      <c r="D63" s="50" t="n">
        <v>10</v>
      </c>
      <c r="I63" s="23" t="inlineStr">
        <is>
          <t>MoRTH SDB Ch.1 preamble 3, p.7 (gravel track)</t>
        </is>
      </c>
    </row>
    <row r="64">
      <c r="A64" s="44" t="inlineStr">
        <is>
          <t>o_vse</t>
        </is>
      </c>
      <c r="B64" s="21" t="inlineStr">
        <is>
          <t>Tipper speed empty, site haul road</t>
        </is>
      </c>
      <c r="C64" t="inlineStr">
        <is>
          <t>km/h</t>
        </is>
      </c>
      <c r="D64" s="50" t="n">
        <v>15</v>
      </c>
      <c r="I64" s="23" t="inlineStr">
        <is>
          <t>MoRTH SDB p.7</t>
        </is>
      </c>
    </row>
    <row r="65">
      <c r="A65" s="44" t="inlineStr">
        <is>
          <t>o_vrl</t>
        </is>
      </c>
      <c r="B65" s="21" t="inlineStr">
        <is>
          <t>Tipper speed loaded, public road</t>
        </is>
      </c>
      <c r="C65" t="inlineStr">
        <is>
          <t>km/h</t>
        </is>
      </c>
      <c r="D65" s="50" t="n">
        <v>25</v>
      </c>
      <c r="I65" s="23" t="inlineStr">
        <is>
          <t>MoRTH SDB p.7 (blacktop, plain)</t>
        </is>
      </c>
    </row>
    <row r="66">
      <c r="A66" s="44" t="inlineStr">
        <is>
          <t>o_vre</t>
        </is>
      </c>
      <c r="B66" s="21" t="inlineStr">
        <is>
          <t>Tipper speed empty, public road</t>
        </is>
      </c>
      <c r="C66" t="inlineStr">
        <is>
          <t>km/h</t>
        </is>
      </c>
      <c r="D66" s="50" t="n">
        <v>35</v>
      </c>
      <c r="I66" s="23" t="inlineStr">
        <is>
          <t>MoRTH SDB p.7</t>
        </is>
      </c>
    </row>
    <row r="67">
      <c r="A67" s="44" t="inlineStr">
        <is>
          <t>o_fixed</t>
        </is>
      </c>
      <c r="B67" s="21" t="inlineStr">
        <is>
          <t>Tipper exchange + manoeuvre and dump</t>
        </is>
      </c>
      <c r="C67" t="inlineStr">
        <is>
          <t>min</t>
        </is>
      </c>
      <c r="D67" s="50">
        <f>0.7+1.1</f>
        <v/>
      </c>
      <c r="I67" s="23" t="inlineStr">
        <is>
          <t>CAT Performance Handbook 49, p.10-20 (0.6-0.8 and 1.0-1.2 min, midpoints)</t>
        </is>
      </c>
    </row>
    <row r="68">
      <c r="A68" s="44" t="inlineStr">
        <is>
          <t>o_loose</t>
        </is>
      </c>
      <c r="B68" s="21" t="inlineStr">
        <is>
          <t>Loose density, sand and gravel (dry)</t>
        </is>
      </c>
      <c r="C68" t="inlineStr">
        <is>
          <t>t/m3</t>
        </is>
      </c>
      <c r="D68" s="50" t="n">
        <v>1.72</v>
      </c>
      <c r="I68" s="23" t="inlineStr">
        <is>
          <t>CAT Performance Handbook 49, p.13-11</t>
        </is>
      </c>
    </row>
    <row r="69">
      <c r="A69" s="44" t="inlineStr">
        <is>
          <t>o_insitu</t>
        </is>
      </c>
      <c r="B69" s="21" t="inlineStr">
        <is>
          <t>In-place density, earth dry packed</t>
        </is>
      </c>
      <c r="C69" t="inlineStr">
        <is>
          <t>t/m3</t>
        </is>
      </c>
      <c r="D69" s="50" t="n">
        <v>1.9</v>
      </c>
      <c r="I69" s="23" t="inlineStr">
        <is>
          <t>CAT Performance Handbook 49, p.13-11</t>
        </is>
      </c>
    </row>
    <row r="70">
      <c r="A70" s="44" t="inlineStr">
        <is>
          <t>o_rockden</t>
        </is>
      </c>
      <c r="B70" s="21" t="inlineStr">
        <is>
          <t>Rock fill, compacted</t>
        </is>
      </c>
      <c r="C70" t="inlineStr">
        <is>
          <t>t/m3</t>
        </is>
      </c>
      <c r="D70" s="50" t="n">
        <v>1.93</v>
      </c>
      <c r="I70" s="23" t="inlineStr">
        <is>
          <t>CAT p.13-11 sand and gravel in place, used as a stand-in for rock fill</t>
        </is>
      </c>
    </row>
    <row r="71">
      <c r="A71" s="44" t="inlineStr">
        <is>
          <t>o_rockloose</t>
        </is>
      </c>
      <c r="B71" s="21" t="inlineStr">
        <is>
          <t>Rock fill, loose</t>
        </is>
      </c>
      <c r="C71" t="inlineStr">
        <is>
          <t>t/m3</t>
        </is>
      </c>
      <c r="D71" s="50" t="n">
        <v>1.55</v>
      </c>
      <c r="I71" s="23" t="inlineStr">
        <is>
          <t>Stockville Quarries price list (1 m3 = 1.55 t)</t>
        </is>
      </c>
    </row>
    <row r="73">
      <c r="A73" s="19" t="inlineStr">
        <is>
          <t>HAUL AND CONVERSIONS - worked out from the outputs and Project</t>
        </is>
      </c>
      <c r="B73" s="20" t="n"/>
      <c r="C73" s="20" t="n"/>
      <c r="D73" s="20" t="n"/>
      <c r="E73" s="20" t="n"/>
      <c r="F73" s="20" t="n"/>
      <c r="G73" s="20" t="n"/>
      <c r="H73" s="20" t="n"/>
      <c r="I73" s="20" t="n"/>
      <c r="J73" s="20" t="n"/>
      <c r="K73" s="20" t="n"/>
    </row>
    <row r="74" ht="30" customHeight="1">
      <c r="A74" s="18" t="inlineStr">
        <is>
          <t>Key</t>
        </is>
      </c>
      <c r="B74" s="18" t="inlineStr">
        <is>
          <t>What</t>
        </is>
      </c>
      <c r="C74" s="18" t="inlineStr">
        <is>
          <t>Unit</t>
        </is>
      </c>
      <c r="D74" s="18" t="inlineStr">
        <is>
          <t>Value</t>
        </is>
      </c>
      <c r="E74" s="18" t="inlineStr"/>
      <c r="F74" s="18" t="inlineStr"/>
      <c r="G74" s="18" t="inlineStr"/>
      <c r="H74" s="18" t="inlineStr"/>
      <c r="I74" s="18" t="inlineStr">
        <is>
          <t>Formula</t>
        </is>
      </c>
      <c r="J74" s="18" t="inlineStr"/>
      <c r="K74" s="18" t="inlineStr"/>
    </row>
    <row r="75">
      <c r="A75" s="44" t="inlineStr">
        <is>
          <t>h_load</t>
        </is>
      </c>
      <c r="B75" s="21" t="inlineStr">
        <is>
          <t>Tipper loading time per load</t>
        </is>
      </c>
      <c r="C75" t="inlineStr">
        <is>
          <t>min</t>
        </is>
      </c>
      <c r="D75" s="42">
        <f>o_tipcap/x_bulk/o_exc*60</f>
        <v/>
      </c>
      <c r="I75" s="23" t="inlineStr">
        <is>
          <t>o_tipcap/x_bulk/o_exc*60</t>
        </is>
      </c>
    </row>
    <row r="76">
      <c r="A76" s="44" t="inlineStr">
        <is>
          <t>h_site</t>
        </is>
      </c>
      <c r="B76" s="21" t="inlineStr">
        <is>
          <t>Tipper hours per in-place m3, site haul</t>
        </is>
      </c>
      <c r="C76" t="inlineStr">
        <is>
          <t>h/m3</t>
        </is>
      </c>
      <c r="D76" s="42">
        <f>(h_load+o_fixed+p_haul_site/o_vsl*60+p_haul_site/o_vse*60)/60/(o_tipcap/x_bulk)</f>
        <v/>
      </c>
      <c r="I76" s="23" t="inlineStr">
        <is>
          <t>(h_load+o_fixed+p_haul_site/o_vsl*60+p_haul_site/o_vse*60)/60/(o_tipcap/x_bulk)</t>
        </is>
      </c>
    </row>
    <row r="77">
      <c r="A77" s="44" t="inlineStr">
        <is>
          <t>h_spoil</t>
        </is>
      </c>
      <c r="B77" s="21" t="inlineStr">
        <is>
          <t>Tipper hours per in-place m3, haul to spoil</t>
        </is>
      </c>
      <c r="C77" t="inlineStr">
        <is>
          <t>h/m3</t>
        </is>
      </c>
      <c r="D77" s="42">
        <f>(h_load+o_fixed+p_haul_spoil/o_vsl*60+p_haul_spoil/o_vse*60)/60/(o_tipcap/x_bulk)</f>
        <v/>
      </c>
      <c r="I77" s="23" t="inlineStr">
        <is>
          <t>(h_load+o_fixed+p_haul_spoil/o_vsl*60+p_haul_spoil/o_vse*60)/60/(o_tipcap/x_bulk)</t>
        </is>
      </c>
    </row>
    <row r="78">
      <c r="A78" s="44" t="inlineStr">
        <is>
          <t>h_quarry</t>
        </is>
      </c>
      <c r="B78" s="21" t="inlineStr">
        <is>
          <t>Tipper hours per loose m3, quarry to site</t>
        </is>
      </c>
      <c r="C78" t="inlineStr">
        <is>
          <t>h/m3</t>
        </is>
      </c>
      <c r="D78" s="42">
        <f>(h_load+o_fixed+p_quarry_km/o_vrl*60+p_quarry_km/o_vre*60)/60/o_tipcap</f>
        <v/>
      </c>
      <c r="I78" s="23" t="inlineStr">
        <is>
          <t>(h_load+o_fixed+p_quarry_km/o_vrl*60+p_quarry_km/o_vre*60)/60/o_tipcap</t>
        </is>
      </c>
    </row>
    <row r="79">
      <c r="A79" s="44" t="inlineStr">
        <is>
          <t>q_layer</t>
        </is>
      </c>
      <c r="B79" s="21" t="inlineStr">
        <is>
          <t>Loose m3 of layer material per compacted m3</t>
        </is>
      </c>
      <c r="C79" t="inlineStr">
        <is>
          <t>m3/m3</t>
        </is>
      </c>
      <c r="D79" s="42">
        <f>s_mod/1000/o_loose</f>
        <v/>
      </c>
      <c r="I79" s="23" t="inlineStr">
        <is>
          <t>s_mod/1000/o_loose</t>
        </is>
      </c>
    </row>
    <row r="80">
      <c r="A80" s="44" t="inlineStr">
        <is>
          <t>q_rock</t>
        </is>
      </c>
      <c r="B80" s="21" t="inlineStr">
        <is>
          <t>Loose m3 of rock per compacted m3</t>
        </is>
      </c>
      <c r="C80" t="inlineStr">
        <is>
          <t>m3/m3</t>
        </is>
      </c>
      <c r="D80" s="42">
        <f>o_rockden/o_rockloose</f>
        <v/>
      </c>
      <c r="I80" s="23" t="inlineStr">
        <is>
          <t>o_rockden/o_rockloose</t>
        </is>
      </c>
    </row>
  </sheetData>
  <pageMargins left="0.75" right="0.75" top="1" bottom="1" header="0.5" footer="0.5"/>
  <pageSetup orientation="landscape" paperSize="9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46" customWidth="1" min="2" max="2"/>
    <col width="56" customWidth="1" min="3" max="3"/>
    <col width="34" customWidth="1" min="4" max="4"/>
  </cols>
  <sheetData>
    <row r="1" ht="30" customHeight="1">
      <c r="A1" s="14" t="inlineStr">
        <is>
          <t>Measuring standards behind this workbook</t>
        </is>
      </c>
      <c r="B1" s="1" t="n"/>
      <c r="C1" s="1" t="n"/>
      <c r="D1" s="1" t="n"/>
      <c r="E1" s="1" t="n"/>
    </row>
    <row r="2">
      <c r="A2" s="15" t="inlineStr">
        <is>
          <t>Measure to the document your contract names. Status says how far Setout could check each reference.</t>
        </is>
      </c>
    </row>
    <row r="4" ht="30" customHeight="1">
      <c r="A4" s="18" t="inlineStr">
        <is>
          <t>Standard / publication</t>
        </is>
      </c>
      <c r="B4" s="18" t="inlineStr">
        <is>
          <t>What it governs</t>
        </is>
      </c>
      <c r="C4" s="18" t="inlineStr">
        <is>
          <t>How this workbook applies it</t>
        </is>
      </c>
      <c r="D4" s="18" t="inlineStr">
        <is>
          <t>Status</t>
        </is>
      </c>
    </row>
    <row r="5">
      <c r="A5" s="16" t="inlineStr">
        <is>
          <t>COTO Standard Specifications for Road and Bridge Works for South African Road Authorities (2020)</t>
        </is>
      </c>
      <c r="B5" s="17" t="inlineStr">
        <is>
          <t>Materials (Ch 4) and construction (Ch 5) of earthworks and pavement layers, asphalt (Ch 9), with new measurement and payment items.</t>
        </is>
      </c>
      <c r="C5" s="17" t="inlineStr">
        <is>
          <t>Use when the tender names COTO - mandatory on SANRAL tenders advertised from 1 March 2021.</t>
        </is>
      </c>
      <c r="D5" s="51" t="inlineStr">
        <is>
          <t>Status per SARF course notes. Item numbers not checked - confirm in your copy.</t>
        </is>
      </c>
    </row>
    <row r="6">
      <c r="A6" s="16" t="inlineStr">
        <is>
          <t>COLTO Standard Specifications for Road and Bridge Works for State Road Authorities (1998)</t>
        </is>
      </c>
      <c r="B6" s="17" t="inlineStr">
        <is>
          <t>The earlier road specification COTO replaces; still named in some provincial and municipal tenders.</t>
        </is>
      </c>
      <c r="C6" s="17" t="inlineStr">
        <is>
          <t>Same layer logic; payment items and units differ from COTO.</t>
        </is>
      </c>
      <c r="D6" s="52" t="inlineStr">
        <is>
          <t>Not read. Confirm in your copy.</t>
        </is>
      </c>
    </row>
    <row r="7">
      <c r="A7" s="16" t="inlineStr">
        <is>
          <t>SANS 1200 ME, Subbase (SABS 1200 ME-1981)</t>
        </is>
      </c>
      <c r="B7" s="17" t="inlineStr">
        <is>
          <t>Subbase and gravel wearing course, including measurement for payment.</t>
        </is>
      </c>
      <c r="C7" s="17" t="inlineStr">
        <is>
          <t>Volumes to finished shapes on the drawings (8.2). Commercial-source subbase is one all-in rate per m3 (8.3.3). Stabilising per m3 excluding the agent (8.3.5(d)); agent per t, lesser of ordered and incorporated (8.3.8). Free haul 2 km; overhaul on designed volume, no bulking (8.1(c), 8.3.9).</t>
        </is>
      </c>
      <c r="D7" s="51" t="inlineStr">
        <is>
          <t>Clause 8 read in the 1981 edition (approved 20/05/1981). Check clause numbers if your contract names a later edition.</t>
        </is>
      </c>
    </row>
    <row r="8">
      <c r="A8" s="16" t="inlineStr">
        <is>
          <t>SANS 1200 MF, Base (SABS 1200 MF-1981)</t>
        </is>
      </c>
      <c r="B8" s="17" t="inlineStr">
        <is>
          <t>Base for roads, shoulders, footways and paved areas.</t>
        </is>
      </c>
      <c r="C8" s="17" t="inlineStr">
        <is>
          <t>Measurement per ME 8.2 (MF 8.2.1). Commercial-source base per m3 by material: gravel, graded crushed stone, or crushed stone and soil fines (8.3.3). Stabilising, agent and overhaul per ME (8.3.5, 8.3.8, 8.3.9).</t>
        </is>
      </c>
      <c r="D8" s="51" t="inlineStr">
        <is>
          <t>Clause 8 read in the 1981 edition (approved 20/05/1981).</t>
        </is>
      </c>
    </row>
    <row r="9">
      <c r="A9" s="16" t="inlineStr">
        <is>
          <t>SANS 1200 D, DM, MH, MM (earthworks, roads subgrade, asphalt, ancillary)</t>
        </is>
      </c>
      <c r="B9" s="17" t="inlineStr">
        <is>
          <t>Earthworks, earthworks for roads, asphalt base and surfacing, ancillary roadworks.</t>
        </is>
      </c>
      <c r="C9" s="17" t="inlineStr">
        <is>
          <t>Excavation classes, cut to spoil, roadbed, selected layers, asphalt and markings here fall under these parts.</t>
        </is>
      </c>
      <c r="D9" s="52" t="inlineStr">
        <is>
          <t>Not read - Setout holds ME and MF only. Confirm the classes and items in your copy.</t>
        </is>
      </c>
    </row>
    <row r="10">
      <c r="A10" s="16" t="inlineStr">
        <is>
          <t>SANS 2001 series (construction works)</t>
        </is>
      </c>
      <c r="B10" s="17" t="inlineStr">
        <is>
          <t>Construction standards intended to replace SANS 1200; they omit measurement and payment.</t>
        </is>
      </c>
      <c r="C10" s="17" t="inlineStr">
        <is>
          <t>Where the contract uses SANS 2001, measurement comes from the bill's own preambles.</t>
        </is>
      </c>
      <c r="D10" s="52" t="inlineStr">
        <is>
          <t>Planned withdrawal of SANS 1200 reported (SABS, 2012); current status not confirmed.</t>
        </is>
      </c>
    </row>
  </sheetData>
  <pageMargins left="0.75" right="0.75" top="1" bottom="1" header="0.5" footer="0.5"/>
  <pageSetup orientation="landscape" paperSize="9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80" customWidth="1" min="2" max="2"/>
    <col width="70" customWidth="1" min="3" max="3"/>
  </cols>
  <sheetData>
    <row r="1" ht="30" customHeight="1">
      <c r="A1" s="14" t="inlineStr">
        <is>
          <t>Sources</t>
        </is>
      </c>
      <c r="B1" s="1" t="n"/>
      <c r="C1" s="1" t="n"/>
    </row>
    <row r="2">
      <c r="A2" s="15" t="inlineStr">
        <is>
          <t>Accessed 19/10/2026. SANS parts not held by Setout are marked to confirm on Standards.</t>
        </is>
      </c>
    </row>
    <row r="4" ht="30" customHeight="1">
      <c r="A4" s="18" t="inlineStr">
        <is>
          <t>Key</t>
        </is>
      </c>
      <c r="B4" s="18" t="inlineStr">
        <is>
          <t>Source</t>
        </is>
      </c>
      <c r="C4" s="18" t="inlineStr">
        <is>
          <t>Link</t>
        </is>
      </c>
    </row>
    <row r="5">
      <c r="A5" s="38" t="inlineStr">
        <is>
          <t>sabs1200me</t>
        </is>
      </c>
      <c r="B5" s="17" t="inlineStr">
        <is>
          <t>SABS 1200 ME-1981 Subbase (SABS), clause 8 read from a licensed copy, 19/10/2026</t>
        </is>
      </c>
      <c r="C5" s="53" t="inlineStr">
        <is>
          <t>-</t>
        </is>
      </c>
    </row>
    <row r="6">
      <c r="A6" s="38" t="inlineStr">
        <is>
          <t>sabs1200mf</t>
        </is>
      </c>
      <c r="B6" s="17" t="inlineStr">
        <is>
          <t>SABS 1200 MF-1981 Base (SABS), clause 8 read from a licensed copy, 19/10/2026</t>
        </is>
      </c>
      <c r="C6" s="53" t="inlineStr">
        <is>
          <t>-</t>
        </is>
      </c>
    </row>
    <row r="7">
      <c r="A7" s="38" t="inlineStr">
        <is>
          <t>morth_sdb</t>
        </is>
      </c>
      <c r="B7" s="17" t="inlineStr">
        <is>
          <t>India MoRTH Standard Data Book for Analysis of Rates, 2nd revision 2019, Vol II: plant outputs (about 70% of rated), road paint and sign labour</t>
        </is>
      </c>
      <c r="C7" s="53" t="inlineStr">
        <is>
          <t>https://law.resource.org/pub/in/bis/irc/mort.sdb.02.2019.pdf</t>
        </is>
      </c>
    </row>
    <row r="8">
      <c r="A8" s="38" t="inlineStr">
        <is>
          <t>cat_phb49</t>
        </is>
      </c>
      <c r="B8" s="17" t="inlineStr">
        <is>
          <t>Caterpillar Performance Handbook, edition 49: fuel consumption bands, material densities, rotary mixer output, truck fixed times, job efficiency</t>
        </is>
      </c>
      <c r="C8" s="53" t="inlineStr">
        <is>
          <t>https://www.macallister.com/wp-content/uploads/sites/2/caterpillar-performance-handbook-49.pdf</t>
        </is>
      </c>
    </row>
    <row r="9">
      <c r="A9" s="38" t="inlineStr">
        <is>
          <t>setout_lib</t>
        </is>
      </c>
      <c r="B9" s="17" t="inlineStr">
        <is>
          <t>Setout rate library 09/2026: BIBC labour, cement, G1/G2 and G5 prices (verified 28/09/2026)</t>
        </is>
      </c>
      <c r="C9" s="53" t="inlineStr">
        <is>
          <t>https://setout.co.za/downloads/setout-rate-library-2026-09.xlsx</t>
        </is>
      </c>
    </row>
    <row r="10">
      <c r="A10" s="38" t="inlineStr">
        <is>
          <t>siyashesha</t>
        </is>
      </c>
      <c r="B10" s="17" t="inlineStr">
        <is>
          <t>Siyashesha Group plant rates (shift rates, operator included, diesel by client)</t>
        </is>
      </c>
      <c r="C10" s="53" t="inlineStr">
        <is>
          <t>https://siyashesha.co.za/plantrates.html</t>
        </is>
      </c>
    </row>
    <row r="11">
      <c r="A11" s="38" t="inlineStr">
        <is>
          <t>macp</t>
        </is>
      </c>
      <c r="B11" s="17" t="inlineStr">
        <is>
          <t>MACP plant hire price list</t>
        </is>
      </c>
      <c r="C11" s="53" t="inlineStr">
        <is>
          <t>https://macp.co.za/documents/price_list.html</t>
        </is>
      </c>
    </row>
    <row r="12">
      <c r="A12" s="38" t="inlineStr">
        <is>
          <t>emadlangeni</t>
        </is>
      </c>
      <c r="B12" s="17" t="inlineStr">
        <is>
          <t>Emadlangeni Local Municipality tariffs 2025/26 (plant hire)</t>
        </is>
      </c>
      <c r="C12" s="53" t="inlineStr">
        <is>
          <t>https://emadlangeni.gov.za/wp-content/uploads/2026/02/DRAFT-Emadlangeni-Municipality-Tariffs-2025-26.pdf</t>
        </is>
      </c>
    </row>
    <row r="13">
      <c r="A13" s="38" t="inlineStr">
        <is>
          <t>makana</t>
        </is>
      </c>
      <c r="B13" s="17" t="inlineStr">
        <is>
          <t>Makana Local Municipality 2025/26 tariff book (tanker, compressor, breaker, hoses)</t>
        </is>
      </c>
      <c r="C13" s="53" t="inlineStr">
        <is>
          <t>https://makana.gov.za/wp-content/uploads/2025/08/FINAL-2025-26-TARIFF-BOOK.pdf</t>
        </is>
      </c>
    </row>
    <row r="14">
      <c r="A14" s="38" t="inlineStr">
        <is>
          <t>winton</t>
        </is>
      </c>
      <c r="B14" s="17" t="inlineStr">
        <is>
          <t>Winton plant rates (excavators)</t>
        </is>
      </c>
      <c r="C14" s="53" t="inlineStr">
        <is>
          <t>https://excavator.co.za/rates.htm</t>
        </is>
      </c>
    </row>
    <row r="15">
      <c r="A15" s="38" t="inlineStr">
        <is>
          <t>cpha</t>
        </is>
      </c>
      <c r="B15" s="17" t="inlineStr">
        <is>
          <t>CPHA price lists (Graders, Bulldozers, Rollers PDFs, dated Feb 2011) - dozer rate only</t>
        </is>
      </c>
      <c r="C15" s="53" t="inlineStr">
        <is>
          <t>https://www.cpha.co.za/uploads/Bulldozers_1.pdf</t>
        </is>
      </c>
    </row>
    <row r="16">
      <c r="A16" s="38" t="inlineStr">
        <is>
          <t>tipper</t>
        </is>
      </c>
      <c r="B16" s="17" t="inlineStr">
        <is>
          <t>Marcus du Toit, tipper truck hire rates Gauteng, 2026 rate card (05/07/2026)</t>
        </is>
      </c>
      <c r="C16" s="53" t="inlineStr">
        <is>
          <t>https://marcusdutoit.com/blog/tipper-truck-hire-rates-gauteng</t>
        </is>
      </c>
    </row>
    <row r="17">
      <c r="A17" s="38" t="inlineStr">
        <is>
          <t>stockville</t>
        </is>
      </c>
      <c r="B17" s="17" t="inlineStr">
        <is>
          <t>Stockville Quarries price list, Jan 2026 (G9 rock fill, excl VAT, collected)</t>
        </is>
      </c>
      <c r="C17" s="53" t="inlineStr">
        <is>
          <t>https://stockvillequarries.co.za/prices/</t>
        </is>
      </c>
    </row>
    <row r="18">
      <c r="A18" s="38" t="inlineStr">
        <is>
          <t>kalahari</t>
        </is>
      </c>
      <c r="B18" s="17" t="inlineStr">
        <is>
          <t>Kalahari Bitumen, MC-30 cutback 200 L drum</t>
        </is>
      </c>
      <c r="C18" s="53" t="inlineStr">
        <is>
          <t>https://kalaharibitumen.co.za/product/mc30-cut-back-bitumen-for-road-base-priming-200l-drum/</t>
        </is>
      </c>
    </row>
    <row r="19">
      <c r="A19" s="38" t="inlineStr">
        <is>
          <t>actop</t>
        </is>
      </c>
      <c r="B19" s="17" t="inlineStr">
        <is>
          <t>Actop SS60 anionic emulsion 200 L drum</t>
        </is>
      </c>
      <c r="C19" s="53" t="inlineStr">
        <is>
          <t>https://www.actop.co.za/product/ss60-anionic-bitumen-emulsion-220lt-drum/</t>
        </is>
      </c>
    </row>
    <row r="20">
      <c r="A20" s="38" t="inlineStr">
        <is>
          <t>paint</t>
        </is>
      </c>
      <c r="B20" s="17" t="inlineStr">
        <is>
          <t>Paintalot road marking paint SB white; Rhinoluxe road marking SABS 731-1</t>
        </is>
      </c>
      <c r="C20" s="53" t="inlineStr">
        <is>
          <t>https://paintalot.co.za/product/road-marking-sbwhite/</t>
        </is>
      </c>
    </row>
    <row r="21">
      <c r="A21" s="38" t="inlineStr">
        <is>
          <t>signs</t>
        </is>
      </c>
      <c r="B21" s="17" t="inlineStr">
        <is>
          <t>Safety Sign Online R1 stop and R2 yield signs (900 mm)</t>
        </is>
      </c>
      <c r="C21" s="53" t="inlineStr">
        <is>
          <t>https://safetysignonline.co.za/products/stop-sign-road-sign-r1</t>
        </is>
      </c>
    </row>
    <row r="22">
      <c r="A22" s="38" t="inlineStr">
        <is>
          <t>pole</t>
        </is>
      </c>
      <c r="B22" s="17" t="inlineStr">
        <is>
          <t>Ahmedia Hardware, galvanised 76 mm round post</t>
        </is>
      </c>
      <c r="C22" s="53" t="inlineStr">
        <is>
          <t>https://ahmediahardware.com/product/carport-post-galv-76mm-round/</t>
        </is>
      </c>
    </row>
    <row r="23">
      <c r="A23" s="38" t="inlineStr">
        <is>
          <t>sagc</t>
        </is>
      </c>
      <c r="B23" s="17" t="inlineStr">
        <is>
          <t>SAGC draft tariff of fees, Board Notice 203 of 2019, Gazette 42902 (technical staff cap)</t>
        </is>
      </c>
      <c r="C23" s="53" t="inlineStr">
        <is>
          <t>https://www.gov.za/sites/default/files/gcis_document/201912/42902bn203_1.pdf</t>
        </is>
      </c>
    </row>
    <row r="24">
      <c r="A24" s="38" t="inlineStr">
        <is>
          <t>ct_tip</t>
        </is>
      </c>
      <c r="B24" s="17" t="inlineStr">
        <is>
          <t>City of Cape Town solid waste disposal tariff notice 2026/27 (clean rubble R31.30/t excl VAT)</t>
        </is>
      </c>
      <c r="C24" s="53" t="inlineStr">
        <is>
          <t>https://www.capetown.gov.za</t>
        </is>
      </c>
    </row>
    <row r="25">
      <c r="A25" s="38" t="inlineStr">
        <is>
          <t>sarf_coto</t>
        </is>
      </c>
      <c r="B25" s="17" t="inlineStr">
        <is>
          <t>SARF course notes on the new COTO Standard Specifications (2020): Chapters 4 and 5 earthworks and pavement layers, new measurement and payment items; SANRAL mandatory from 1 March 2021</t>
        </is>
      </c>
      <c r="C25" s="53" t="inlineStr">
        <is>
          <t>https://sarf.org.za/?p=50083</t>
        </is>
      </c>
    </row>
    <row r="26">
      <c r="A26" s="38" t="inlineStr">
        <is>
          <t>perrie</t>
        </is>
      </c>
      <c r="B26" s="17" t="inlineStr">
        <is>
          <t>B Perrie, SANS 2001 vs SABS 1200 presentation (CSIR): SABS debate of 24 July 2012 concluded SANS 2001 to be completed and the 1200 series withdrawn</t>
        </is>
      </c>
      <c r="C26" s="53" t="inlineStr">
        <is>
          <t>https://rpf.csir.co.za/wp-content/uploads/2017/01/23.-B-Perrie-Standards-BDP.pdf</t>
        </is>
      </c>
    </row>
    <row r="27">
      <c r="A27" s="38" t="inlineStr">
        <is>
          <t>template</t>
        </is>
      </c>
      <c r="B27" s="17" t="inlineStr">
        <is>
          <t>Contractor road measure sheet supplied to Setout (3 km road example); hard-typed volumes relinked</t>
        </is>
      </c>
      <c r="C27" s="53" t="inlineStr">
        <is>
          <t>-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Setout</dc:creator>
  <dc:title xmlns:dc="http://purl.org/dc/elements/1.1/">02_road_earthworks</dc:title>
  <dcterms:created xmlns:dcterms="http://purl.org/dc/terms/" xmlns:xsi="http://www.w3.org/2001/XMLSchema-instance" xsi:type="dcterms:W3CDTF">2026-10-19T10:26:51Z</dcterms:created>
  <dcterms:modified xmlns:dcterms="http://purl.org/dc/terms/" xmlns:xsi="http://www.w3.org/2001/XMLSchema-instance" xsi:type="dcterms:W3CDTF">2026-10-19T10:26:51Z</dcterms:modified>
</cp:coreProperties>
</file>